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gif" ContentType="image/gif"/>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tukko\Documents\My eBooks\生活管理\"/>
    </mc:Choice>
  </mc:AlternateContent>
  <bookViews>
    <workbookView xWindow="600" yWindow="120" windowWidth="19395" windowHeight="7830" activeTab="6"/>
  </bookViews>
  <sheets>
    <sheet name="三角関数計算表" sheetId="1" r:id="rId1"/>
    <sheet name="対数計算表" sheetId="4" r:id="rId2"/>
    <sheet name="べき乗と√" sheetId="9" r:id="rId3"/>
    <sheet name="進数変換表" sheetId="6" r:id="rId4"/>
    <sheet name="単位変換表" sheetId="7" r:id="rId5"/>
    <sheet name="年号年齢早見表" sheetId="8" r:id="rId6"/>
    <sheet name="用紙サイズpixel換算表" sheetId="18" r:id="rId7"/>
    <sheet name="緯度経度の距離換算表" sheetId="13" r:id="rId8"/>
    <sheet name="抵抗値の読み方" sheetId="10" r:id="rId9"/>
    <sheet name="CR仰角計算表" sheetId="15" r:id="rId10"/>
    <sheet name="オームの法則" sheetId="17" r:id="rId11"/>
    <sheet name="Excel関数一覧" sheetId="16" r:id="rId12"/>
    <sheet name="目的と関数" sheetId="3" r:id="rId13"/>
    <sheet name="種類別関数一覧表" sheetId="11" r:id="rId14"/>
    <sheet name="エンジニアリング関数" sheetId="12" r:id="rId15"/>
  </sheets>
  <externalReferences>
    <externalReference r:id="rId16"/>
  </externalReferences>
  <definedNames>
    <definedName name="data_dpi">[1]data_dpi!$A$1:$A$8</definedName>
  </definedNames>
  <calcPr calcId="162913"/>
</workbook>
</file>

<file path=xl/calcChain.xml><?xml version="1.0" encoding="utf-8"?>
<calcChain xmlns="http://schemas.openxmlformats.org/spreadsheetml/2006/main">
  <c r="I13" i="18" l="1"/>
  <c r="I9" i="18"/>
  <c r="L13" i="18" l="1"/>
  <c r="I37" i="1" l="1"/>
  <c r="I33" i="1"/>
  <c r="E29" i="1"/>
  <c r="J29" i="1" s="1"/>
  <c r="I29" i="1"/>
  <c r="R11" i="17" l="1"/>
  <c r="M54" i="17" l="1"/>
  <c r="L54" i="17"/>
  <c r="K48" i="17"/>
  <c r="K44" i="17"/>
  <c r="F60" i="17" l="1"/>
  <c r="F54" i="17"/>
  <c r="D48" i="17"/>
  <c r="F48" i="17" s="1"/>
  <c r="D46" i="17"/>
  <c r="F46" i="17" s="1"/>
  <c r="D44" i="17"/>
  <c r="F44" i="17" s="1"/>
  <c r="D36" i="17"/>
  <c r="D34" i="17"/>
  <c r="D32" i="17"/>
  <c r="F26" i="17"/>
  <c r="G26" i="17" s="1"/>
  <c r="F24" i="17"/>
  <c r="G24" i="17" s="1"/>
  <c r="F21" i="17"/>
  <c r="G21" i="17" s="1"/>
  <c r="F19" i="17"/>
  <c r="G19" i="17" s="1"/>
  <c r="F16" i="17"/>
  <c r="G16" i="17" s="1"/>
  <c r="K11" i="17"/>
  <c r="K8" i="17"/>
  <c r="K5" i="17"/>
  <c r="M23" i="9" l="1"/>
  <c r="M19" i="9"/>
  <c r="M15" i="9"/>
  <c r="D43" i="13" l="1"/>
  <c r="D40" i="13"/>
  <c r="T26" i="13"/>
  <c r="T29" i="13"/>
  <c r="H14" i="15" l="1"/>
  <c r="S29" i="13" l="1"/>
  <c r="R29" i="13"/>
  <c r="H29" i="13"/>
  <c r="S26" i="13"/>
  <c r="R26" i="13"/>
  <c r="H26" i="13" s="1"/>
  <c r="F20" i="13"/>
  <c r="F15" i="13"/>
  <c r="F11" i="13"/>
  <c r="F7" i="13"/>
  <c r="B119" i="6" l="1"/>
  <c r="B120" i="6"/>
  <c r="D3" i="11" l="1"/>
  <c r="D4" i="11"/>
  <c r="D5" i="11"/>
  <c r="D6" i="11"/>
  <c r="D7" i="11"/>
  <c r="D8" i="11"/>
  <c r="D10" i="11"/>
  <c r="D12" i="11"/>
  <c r="D15" i="11"/>
  <c r="D16" i="11"/>
  <c r="D17" i="11"/>
  <c r="D18" i="11"/>
  <c r="D20" i="11"/>
  <c r="D21" i="11"/>
  <c r="D22" i="11"/>
  <c r="D24" i="11"/>
  <c r="D25" i="11"/>
  <c r="D26" i="11"/>
  <c r="D27" i="11"/>
  <c r="D28" i="11"/>
  <c r="D29" i="11"/>
  <c r="D30" i="11"/>
  <c r="D31" i="11"/>
  <c r="D34" i="11"/>
  <c r="D35" i="11"/>
  <c r="D36" i="11"/>
  <c r="D37" i="11"/>
  <c r="D38" i="11"/>
  <c r="D39" i="11"/>
  <c r="D40" i="11"/>
  <c r="D41" i="11"/>
  <c r="D42" i="11"/>
  <c r="D43" i="11"/>
  <c r="D44" i="11"/>
  <c r="D45" i="11"/>
  <c r="D46" i="11"/>
  <c r="D47" i="11"/>
  <c r="D48" i="11"/>
  <c r="D49" i="11"/>
  <c r="D50" i="11"/>
  <c r="D51" i="11"/>
  <c r="D52" i="11"/>
  <c r="D53" i="11"/>
  <c r="D54" i="11"/>
  <c r="D55" i="11"/>
  <c r="D56" i="11"/>
  <c r="D57" i="11"/>
  <c r="D58" i="11"/>
  <c r="D59" i="11"/>
  <c r="D60" i="11"/>
  <c r="D61" i="11"/>
  <c r="D62" i="11"/>
  <c r="D63" i="11"/>
  <c r="D65" i="11"/>
  <c r="D66" i="11"/>
  <c r="D67" i="11"/>
  <c r="D68" i="11"/>
  <c r="D70" i="11"/>
  <c r="D71" i="11"/>
  <c r="D72" i="11"/>
  <c r="D74" i="11"/>
  <c r="D75" i="11"/>
  <c r="D76" i="11"/>
  <c r="D77" i="11"/>
  <c r="D78" i="11"/>
  <c r="D79" i="11"/>
  <c r="D80" i="11"/>
  <c r="D81" i="11"/>
  <c r="D82" i="11"/>
  <c r="D83" i="11"/>
  <c r="D84" i="11"/>
  <c r="D85" i="11"/>
  <c r="D86" i="11"/>
  <c r="D87" i="11"/>
  <c r="D88" i="11"/>
  <c r="D89" i="11"/>
  <c r="D90" i="11"/>
  <c r="D91" i="11"/>
  <c r="D92" i="11"/>
  <c r="D93" i="11"/>
  <c r="D94" i="11"/>
  <c r="D95" i="11"/>
  <c r="D96" i="11"/>
  <c r="D97" i="11"/>
  <c r="D98" i="11"/>
  <c r="D99" i="11"/>
  <c r="D100" i="11"/>
  <c r="D101" i="11"/>
  <c r="D102" i="11"/>
  <c r="D104" i="11"/>
  <c r="D105" i="11"/>
  <c r="D106" i="11"/>
  <c r="D107" i="11"/>
  <c r="D108" i="11"/>
  <c r="D109" i="11"/>
  <c r="D110" i="11"/>
  <c r="D111" i="11"/>
  <c r="D112" i="11"/>
  <c r="D113" i="11"/>
  <c r="D114" i="11"/>
  <c r="D115" i="11"/>
  <c r="D116" i="11"/>
  <c r="D117" i="11"/>
  <c r="D118" i="11"/>
  <c r="D119" i="11"/>
  <c r="D120" i="11"/>
  <c r="D121" i="11"/>
  <c r="D122" i="11"/>
  <c r="D123" i="11"/>
  <c r="D124" i="11"/>
  <c r="D125" i="11"/>
  <c r="D126" i="11"/>
  <c r="D128" i="11"/>
  <c r="D129" i="11"/>
  <c r="D130" i="11"/>
  <c r="D131" i="11"/>
  <c r="D132" i="11"/>
  <c r="D133" i="11"/>
  <c r="D134" i="11"/>
  <c r="D135" i="11"/>
  <c r="D136" i="11"/>
  <c r="D137" i="11"/>
  <c r="D138" i="11"/>
  <c r="D139" i="11"/>
  <c r="D140" i="11"/>
  <c r="D141" i="11"/>
  <c r="D142" i="11"/>
  <c r="D143" i="11"/>
  <c r="D144" i="11"/>
  <c r="D146" i="11"/>
  <c r="D148" i="11"/>
  <c r="D149" i="11"/>
  <c r="D150" i="11"/>
  <c r="D151" i="11"/>
  <c r="D152" i="11"/>
  <c r="D153" i="11"/>
  <c r="D154" i="11"/>
  <c r="D155" i="11"/>
  <c r="D156" i="11"/>
  <c r="D157" i="11"/>
  <c r="D158" i="11"/>
  <c r="D159" i="11"/>
  <c r="D160" i="11"/>
  <c r="D161" i="11"/>
  <c r="D162" i="11"/>
  <c r="D163" i="11"/>
  <c r="D164" i="11"/>
  <c r="D165" i="11"/>
  <c r="D166" i="11"/>
  <c r="D168" i="11"/>
  <c r="D170" i="11"/>
  <c r="D171" i="11"/>
  <c r="D172" i="11"/>
  <c r="D173" i="11"/>
  <c r="D174" i="11"/>
  <c r="D175" i="11"/>
  <c r="D176" i="11"/>
  <c r="D177" i="11"/>
  <c r="D179" i="11"/>
  <c r="D180" i="11"/>
  <c r="D181" i="11"/>
  <c r="D183" i="11"/>
  <c r="D184" i="11"/>
  <c r="D185" i="11"/>
  <c r="D186" i="11"/>
  <c r="D187" i="11"/>
  <c r="D188" i="11"/>
  <c r="D189" i="11"/>
  <c r="D190" i="11"/>
  <c r="D191" i="11"/>
  <c r="D192" i="11"/>
  <c r="D193" i="11"/>
  <c r="D194" i="11"/>
  <c r="D195" i="11"/>
  <c r="D198" i="11"/>
  <c r="D201" i="11"/>
  <c r="D202" i="11"/>
  <c r="D203" i="11"/>
  <c r="D204" i="11"/>
  <c r="D205" i="11"/>
  <c r="D206" i="11"/>
  <c r="D211" i="11"/>
  <c r="D212" i="11"/>
  <c r="D213" i="11"/>
  <c r="D214" i="11"/>
  <c r="D216" i="11"/>
  <c r="D217" i="11"/>
  <c r="D218" i="11"/>
  <c r="D221" i="11"/>
  <c r="D222" i="11"/>
  <c r="D224" i="11"/>
  <c r="D225" i="11"/>
  <c r="D226" i="11"/>
  <c r="D227" i="11"/>
  <c r="D228" i="11"/>
  <c r="D229" i="11"/>
  <c r="D230" i="11"/>
  <c r="D231" i="11"/>
  <c r="D232" i="11"/>
  <c r="D233" i="11"/>
  <c r="D234" i="11"/>
  <c r="D236" i="11"/>
  <c r="D238" i="11"/>
  <c r="D239" i="11"/>
  <c r="D241" i="11"/>
  <c r="D242" i="11"/>
  <c r="D243" i="11"/>
  <c r="D244" i="11"/>
  <c r="D245" i="11"/>
  <c r="D252" i="11"/>
  <c r="D253" i="11"/>
  <c r="D254" i="11"/>
  <c r="D255" i="11"/>
  <c r="D256" i="11"/>
  <c r="D257" i="11"/>
  <c r="D258" i="11"/>
  <c r="D259" i="11"/>
  <c r="D260" i="11"/>
  <c r="D261" i="11"/>
  <c r="D262" i="11"/>
  <c r="D263" i="11"/>
  <c r="D264" i="11"/>
  <c r="D265" i="11"/>
  <c r="D267" i="11"/>
  <c r="D268" i="11"/>
  <c r="D269" i="11"/>
  <c r="D274" i="11"/>
  <c r="D275" i="11"/>
  <c r="D276" i="11"/>
  <c r="D277" i="11"/>
  <c r="D278" i="11"/>
  <c r="D279" i="11"/>
  <c r="D284" i="11"/>
  <c r="D285" i="11"/>
  <c r="D287" i="11"/>
  <c r="D288" i="11"/>
  <c r="D289" i="11"/>
  <c r="D290" i="11"/>
  <c r="D291" i="11"/>
  <c r="D292" i="11"/>
  <c r="D293" i="11"/>
  <c r="D294" i="11"/>
  <c r="D295" i="11"/>
  <c r="D296" i="11"/>
  <c r="D297" i="11"/>
  <c r="D298" i="11"/>
  <c r="D299" i="11"/>
  <c r="D300" i="11"/>
  <c r="D301" i="11"/>
  <c r="D302" i="11"/>
  <c r="D303" i="11"/>
  <c r="D304" i="11"/>
  <c r="D305" i="11"/>
  <c r="D306" i="11"/>
  <c r="D307" i="11"/>
  <c r="D309" i="11"/>
  <c r="D310" i="11"/>
  <c r="D311" i="11"/>
  <c r="D312" i="11"/>
  <c r="D314" i="11"/>
  <c r="D315" i="11"/>
  <c r="D316" i="11"/>
  <c r="D317" i="11"/>
  <c r="D318" i="11"/>
  <c r="D321" i="11"/>
  <c r="D323" i="11"/>
  <c r="D325" i="11"/>
  <c r="D328" i="11"/>
  <c r="D329" i="11"/>
  <c r="D330" i="11"/>
  <c r="D331" i="11"/>
  <c r="D332" i="11"/>
  <c r="D333" i="11"/>
  <c r="D334" i="11"/>
  <c r="D337" i="11"/>
  <c r="D338" i="11"/>
  <c r="D339" i="11"/>
  <c r="D341" i="11"/>
  <c r="I7" i="6"/>
  <c r="I10" i="6"/>
  <c r="D32" i="11"/>
  <c r="D145" i="11"/>
  <c r="D11" i="11"/>
  <c r="E17" i="10" l="1"/>
  <c r="C17" i="10"/>
  <c r="S24" i="10"/>
  <c r="S23" i="10"/>
  <c r="S22" i="10"/>
  <c r="S21" i="10"/>
  <c r="S20" i="10"/>
  <c r="S19" i="10"/>
  <c r="S18" i="10"/>
  <c r="S17" i="10"/>
  <c r="S16" i="10"/>
  <c r="S15" i="10"/>
  <c r="G17" i="10" s="1"/>
  <c r="S14" i="10"/>
  <c r="S13" i="10"/>
  <c r="H17" i="10" l="1"/>
  <c r="I17" i="10" s="1"/>
  <c r="K17" i="10" s="1"/>
  <c r="K19" i="10" s="1"/>
  <c r="I7" i="9"/>
  <c r="D50" i="7" l="1"/>
  <c r="D48" i="7"/>
  <c r="D46" i="7"/>
  <c r="D44" i="7"/>
  <c r="D42" i="7"/>
  <c r="D40" i="7"/>
  <c r="D38" i="7"/>
  <c r="D36" i="7"/>
  <c r="D32" i="7"/>
  <c r="D30" i="7"/>
  <c r="D34" i="7"/>
  <c r="D28" i="7" l="1"/>
  <c r="E19" i="1"/>
  <c r="I22" i="1" s="1"/>
  <c r="E12" i="1"/>
  <c r="I12" i="1" s="1"/>
  <c r="D26" i="7" l="1"/>
  <c r="D24" i="7"/>
  <c r="R5" i="8" l="1"/>
  <c r="R6" i="8" s="1"/>
  <c r="R7" i="8" s="1"/>
  <c r="R8" i="8" s="1"/>
  <c r="R9" i="8" s="1"/>
  <c r="R10" i="8" s="1"/>
  <c r="R11" i="8" s="1"/>
  <c r="R12" i="8" s="1"/>
  <c r="R13" i="8" s="1"/>
  <c r="R14" i="8" s="1"/>
  <c r="R15" i="8" s="1"/>
  <c r="R16" i="8" s="1"/>
  <c r="R17" i="8" s="1"/>
  <c r="R18" i="8" s="1"/>
  <c r="R19" i="8" s="1"/>
  <c r="R20" i="8" s="1"/>
  <c r="R21" i="8" s="1"/>
  <c r="R22" i="8" s="1"/>
  <c r="R23" i="8" s="1"/>
  <c r="R24" i="8" s="1"/>
  <c r="R25" i="8" s="1"/>
  <c r="R26" i="8" s="1"/>
  <c r="R27" i="8" s="1"/>
  <c r="R28" i="8" s="1"/>
  <c r="R29" i="8" s="1"/>
  <c r="R30" i="8" s="1"/>
  <c r="R31" i="8" s="1"/>
  <c r="R32" i="8" s="1"/>
  <c r="R33" i="8" s="1"/>
  <c r="R34" i="8" s="1"/>
  <c r="R35" i="8" s="1"/>
  <c r="R36" i="8" s="1"/>
  <c r="R37" i="8" s="1"/>
  <c r="R38" i="8" s="1"/>
  <c r="R39" i="8" s="1"/>
  <c r="R40" i="8" s="1"/>
  <c r="R41" i="8" s="1"/>
  <c r="R42" i="8" s="1"/>
  <c r="R43" i="8" s="1"/>
  <c r="R44" i="8" s="1"/>
  <c r="R45" i="8" s="1"/>
  <c r="R46" i="8" s="1"/>
  <c r="R47" i="8" s="1"/>
  <c r="R48" i="8" s="1"/>
  <c r="R49" i="8" s="1"/>
  <c r="R50" i="8" s="1"/>
  <c r="R51" i="8" s="1"/>
  <c r="R52" i="8" s="1"/>
  <c r="R53" i="8" s="1"/>
  <c r="R54" i="8" s="1"/>
  <c r="R55" i="8" s="1"/>
  <c r="R56" i="8" s="1"/>
  <c r="R57" i="8" s="1"/>
  <c r="R58" i="8" s="1"/>
  <c r="R59" i="8" s="1"/>
  <c r="R60" i="8" s="1"/>
  <c r="R61" i="8" s="1"/>
  <c r="R62" i="8" s="1"/>
  <c r="R63" i="8" s="1"/>
  <c r="R64" i="8" s="1"/>
  <c r="R65" i="8" s="1"/>
  <c r="R66" i="8" s="1"/>
  <c r="R67" i="8" s="1"/>
  <c r="R68" i="8" s="1"/>
  <c r="R69" i="8" s="1"/>
  <c r="R70" i="8" s="1"/>
  <c r="R71" i="8" s="1"/>
  <c r="R72" i="8" s="1"/>
  <c r="R73" i="8" s="1"/>
  <c r="R74" i="8" s="1"/>
  <c r="R75" i="8" s="1"/>
  <c r="R76" i="8" s="1"/>
  <c r="R77" i="8" s="1"/>
  <c r="R78" i="8" s="1"/>
  <c r="R79" i="8" s="1"/>
  <c r="R80" i="8" s="1"/>
  <c r="R81" i="8" s="1"/>
  <c r="R82" i="8" s="1"/>
  <c r="R83" i="8" s="1"/>
  <c r="R84" i="8" s="1"/>
  <c r="R85" i="8" s="1"/>
  <c r="R86" i="8" s="1"/>
  <c r="R87" i="8" s="1"/>
  <c r="R88" i="8" s="1"/>
  <c r="R89" i="8" s="1"/>
  <c r="R90" i="8" s="1"/>
  <c r="R91" i="8" s="1"/>
  <c r="R92" i="8" s="1"/>
  <c r="R93" i="8" s="1"/>
  <c r="R94" i="8" s="1"/>
  <c r="R95" i="8" s="1"/>
  <c r="R96" i="8" s="1"/>
  <c r="R97" i="8" s="1"/>
  <c r="R98" i="8" s="1"/>
  <c r="R99" i="8" s="1"/>
  <c r="R100" i="8" s="1"/>
  <c r="R101" i="8" s="1"/>
  <c r="R102" i="8" s="1"/>
  <c r="R103" i="8" s="1"/>
  <c r="R104" i="8" s="1"/>
  <c r="R105" i="8" s="1"/>
  <c r="R106" i="8" s="1"/>
  <c r="R107" i="8" s="1"/>
  <c r="R108" i="8" s="1"/>
  <c r="R109" i="8" s="1"/>
  <c r="R110" i="8" s="1"/>
  <c r="R111" i="8" s="1"/>
  <c r="R112" i="8" s="1"/>
  <c r="R113" i="8" s="1"/>
  <c r="R114" i="8" s="1"/>
  <c r="R115" i="8" s="1"/>
  <c r="R116" i="8" s="1"/>
  <c r="R117" i="8" s="1"/>
  <c r="R118" i="8" s="1"/>
  <c r="R119" i="8" s="1"/>
  <c r="R120" i="8" s="1"/>
  <c r="R121" i="8" s="1"/>
  <c r="R122" i="8" s="1"/>
  <c r="R123" i="8" s="1"/>
  <c r="R124" i="8" s="1"/>
  <c r="R125" i="8" s="1"/>
  <c r="R126" i="8" s="1"/>
  <c r="R127" i="8" s="1"/>
  <c r="R128" i="8" s="1"/>
  <c r="R129" i="8" s="1"/>
  <c r="R130" i="8" s="1"/>
  <c r="R131" i="8" s="1"/>
  <c r="R132" i="8" s="1"/>
  <c r="R133" i="8" s="1"/>
  <c r="R134" i="8" s="1"/>
  <c r="R135" i="8" s="1"/>
  <c r="R136" i="8" s="1"/>
  <c r="R137" i="8" s="1"/>
  <c r="R138" i="8" s="1"/>
  <c r="R139" i="8" s="1"/>
  <c r="R140" i="8" s="1"/>
  <c r="R141" i="8" s="1"/>
  <c r="R142" i="8" s="1"/>
  <c r="R143" i="8" s="1"/>
  <c r="R144" i="8" s="1"/>
  <c r="O5" i="8"/>
  <c r="O6" i="8" s="1"/>
  <c r="O7" i="8" s="1"/>
  <c r="O8" i="8" s="1"/>
  <c r="O9" i="8" s="1"/>
  <c r="O10" i="8" s="1"/>
  <c r="O11" i="8" s="1"/>
  <c r="O12" i="8" s="1"/>
  <c r="O13" i="8" s="1"/>
  <c r="O14" i="8" s="1"/>
  <c r="O15" i="8" s="1"/>
  <c r="O16" i="8" s="1"/>
  <c r="O17" i="8" s="1"/>
  <c r="O18" i="8" s="1"/>
  <c r="O19" i="8" s="1"/>
  <c r="O20" i="8" s="1"/>
  <c r="O21" i="8" s="1"/>
  <c r="O22" i="8" s="1"/>
  <c r="O23" i="8" s="1"/>
  <c r="O24" i="8" s="1"/>
  <c r="O25" i="8" s="1"/>
  <c r="O26" i="8" s="1"/>
  <c r="O27" i="8" s="1"/>
  <c r="O28" i="8" s="1"/>
  <c r="O29" i="8" s="1"/>
  <c r="O30" i="8" s="1"/>
  <c r="O31" i="8" s="1"/>
  <c r="O32" i="8" s="1"/>
  <c r="O33" i="8" s="1"/>
  <c r="O34" i="8" s="1"/>
  <c r="O35" i="8" s="1"/>
  <c r="O36" i="8" s="1"/>
  <c r="O37" i="8" s="1"/>
  <c r="O38" i="8" s="1"/>
  <c r="O39" i="8" s="1"/>
  <c r="O40" i="8" s="1"/>
  <c r="O41" i="8" s="1"/>
  <c r="O42" i="8" s="1"/>
  <c r="O43" i="8" s="1"/>
  <c r="O44" i="8" s="1"/>
  <c r="O45" i="8" s="1"/>
  <c r="O46" i="8" s="1"/>
  <c r="O47" i="8" s="1"/>
  <c r="O48" i="8" s="1"/>
  <c r="O49" i="8" s="1"/>
  <c r="O50" i="8" s="1"/>
  <c r="O51" i="8" s="1"/>
  <c r="O52" i="8" s="1"/>
  <c r="O53" i="8" s="1"/>
  <c r="O54" i="8" s="1"/>
  <c r="O55" i="8" s="1"/>
  <c r="O56" i="8" s="1"/>
  <c r="O57" i="8" s="1"/>
  <c r="O58" i="8" s="1"/>
  <c r="O59" i="8" s="1"/>
  <c r="O60" i="8" s="1"/>
  <c r="O61" i="8" s="1"/>
  <c r="O62" i="8" s="1"/>
  <c r="O63" i="8" s="1"/>
  <c r="O64" i="8" s="1"/>
  <c r="O65" i="8" s="1"/>
  <c r="O66" i="8" s="1"/>
  <c r="O67" i="8" s="1"/>
  <c r="O68" i="8" s="1"/>
  <c r="O69" i="8" s="1"/>
  <c r="O70" i="8" s="1"/>
  <c r="O71" i="8" s="1"/>
  <c r="O72" i="8" s="1"/>
  <c r="O73" i="8" s="1"/>
  <c r="O74" i="8" s="1"/>
  <c r="O75" i="8" s="1"/>
  <c r="O76" i="8" s="1"/>
  <c r="O77" i="8" s="1"/>
  <c r="O78" i="8" s="1"/>
  <c r="O79" i="8" s="1"/>
  <c r="O80" i="8" s="1"/>
  <c r="O81" i="8" s="1"/>
  <c r="O82" i="8" s="1"/>
  <c r="O83" i="8" s="1"/>
  <c r="O84" i="8" s="1"/>
  <c r="O85" i="8" s="1"/>
  <c r="O86" i="8" s="1"/>
  <c r="O87" i="8" s="1"/>
  <c r="O88" i="8" s="1"/>
  <c r="O89" i="8" s="1"/>
  <c r="O90" i="8" s="1"/>
  <c r="O91" i="8" s="1"/>
  <c r="O92" i="8" s="1"/>
  <c r="O93" i="8" s="1"/>
  <c r="O94" i="8" s="1"/>
  <c r="O95" i="8" s="1"/>
  <c r="O96" i="8" s="1"/>
  <c r="O97" i="8" s="1"/>
  <c r="O98" i="8" s="1"/>
  <c r="O99" i="8" s="1"/>
  <c r="O100" i="8" s="1"/>
  <c r="O101" i="8" s="1"/>
  <c r="O102" i="8" s="1"/>
  <c r="O103" i="8" s="1"/>
  <c r="O104" i="8" s="1"/>
  <c r="O105" i="8" s="1"/>
  <c r="O106" i="8" s="1"/>
  <c r="O107" i="8" s="1"/>
  <c r="O108" i="8" s="1"/>
  <c r="O109" i="8" s="1"/>
  <c r="O110" i="8" s="1"/>
  <c r="O111" i="8" s="1"/>
  <c r="O112" i="8" s="1"/>
  <c r="O113" i="8" s="1"/>
  <c r="O114" i="8" s="1"/>
  <c r="O115" i="8" s="1"/>
  <c r="O116" i="8" s="1"/>
  <c r="O117" i="8" s="1"/>
  <c r="O118" i="8" s="1"/>
  <c r="O119" i="8" s="1"/>
  <c r="O120" i="8" s="1"/>
  <c r="O121" i="8" s="1"/>
  <c r="O122" i="8" s="1"/>
  <c r="O123" i="8" s="1"/>
  <c r="O124" i="8" s="1"/>
  <c r="O125" i="8" s="1"/>
  <c r="O126" i="8" s="1"/>
  <c r="O127" i="8" s="1"/>
  <c r="O128" i="8" s="1"/>
  <c r="O129" i="8" s="1"/>
  <c r="O130" i="8" s="1"/>
  <c r="O131" i="8" s="1"/>
  <c r="O132" i="8" s="1"/>
  <c r="O133" i="8" s="1"/>
  <c r="O134" i="8" s="1"/>
  <c r="O135" i="8" s="1"/>
  <c r="O136" i="8" s="1"/>
  <c r="O137" i="8" s="1"/>
  <c r="O138" i="8" s="1"/>
  <c r="O139" i="8" s="1"/>
  <c r="O140" i="8" s="1"/>
  <c r="O141" i="8" s="1"/>
  <c r="O142" i="8" s="1"/>
  <c r="O143" i="8" s="1"/>
  <c r="O144" i="8" s="1"/>
  <c r="J5" i="8"/>
  <c r="J6" i="8" s="1"/>
  <c r="J7" i="8" s="1"/>
  <c r="J8" i="8" s="1"/>
  <c r="J9" i="8" s="1"/>
  <c r="J10" i="8" s="1"/>
  <c r="J11" i="8" s="1"/>
  <c r="J12" i="8" s="1"/>
  <c r="J13" i="8" s="1"/>
  <c r="J14" i="8" s="1"/>
  <c r="J15" i="8" s="1"/>
  <c r="J16" i="8" s="1"/>
  <c r="J17" i="8" s="1"/>
  <c r="J18" i="8" s="1"/>
  <c r="J19" i="8" s="1"/>
  <c r="J20" i="8" s="1"/>
  <c r="J21" i="8" s="1"/>
  <c r="J22" i="8" s="1"/>
  <c r="J23" i="8" s="1"/>
  <c r="J24" i="8" s="1"/>
  <c r="J25" i="8" s="1"/>
  <c r="J26" i="8" s="1"/>
  <c r="J27" i="8" s="1"/>
  <c r="J28" i="8" s="1"/>
  <c r="J29" i="8" s="1"/>
  <c r="J30" i="8" s="1"/>
  <c r="J31" i="8" s="1"/>
  <c r="J32" i="8" s="1"/>
  <c r="J33" i="8" s="1"/>
  <c r="J34" i="8" s="1"/>
  <c r="J35" i="8" s="1"/>
  <c r="J36" i="8" s="1"/>
  <c r="J37" i="8" s="1"/>
  <c r="J38" i="8" s="1"/>
  <c r="J39" i="8" s="1"/>
  <c r="J40" i="8" s="1"/>
  <c r="J41" i="8" s="1"/>
  <c r="J42" i="8" s="1"/>
  <c r="J43" i="8" s="1"/>
  <c r="J44" i="8" s="1"/>
  <c r="J45" i="8" s="1"/>
  <c r="J46" i="8" s="1"/>
  <c r="J47" i="8" s="1"/>
  <c r="J48" i="8" s="1"/>
  <c r="J49" i="8" s="1"/>
  <c r="J50" i="8" s="1"/>
  <c r="J51" i="8" s="1"/>
  <c r="J52" i="8" s="1"/>
  <c r="J53" i="8" s="1"/>
  <c r="J54" i="8" s="1"/>
  <c r="J55" i="8" s="1"/>
  <c r="J56" i="8" s="1"/>
  <c r="J57" i="8" s="1"/>
  <c r="J58" i="8" s="1"/>
  <c r="J59" i="8" s="1"/>
  <c r="J60" i="8" s="1"/>
  <c r="J61" i="8" s="1"/>
  <c r="J62" i="8" s="1"/>
  <c r="J63" i="8" s="1"/>
  <c r="J64" i="8" s="1"/>
  <c r="J65" i="8" s="1"/>
  <c r="J66" i="8" s="1"/>
  <c r="J67" i="8" s="1"/>
  <c r="J68" i="8" s="1"/>
  <c r="J69" i="8" s="1"/>
  <c r="J70" i="8" s="1"/>
  <c r="J71" i="8" s="1"/>
  <c r="J72" i="8" s="1"/>
  <c r="J73" i="8" s="1"/>
  <c r="J74" i="8" s="1"/>
  <c r="J75" i="8" s="1"/>
  <c r="J76" i="8" s="1"/>
  <c r="J77" i="8" s="1"/>
  <c r="J78" i="8" s="1"/>
  <c r="J79" i="8" s="1"/>
  <c r="J80" i="8" s="1"/>
  <c r="J81" i="8" s="1"/>
  <c r="J82" i="8" s="1"/>
  <c r="J83" i="8" s="1"/>
  <c r="J84" i="8" s="1"/>
  <c r="J85" i="8" s="1"/>
  <c r="J86" i="8" s="1"/>
  <c r="J87" i="8" s="1"/>
  <c r="J88" i="8" s="1"/>
  <c r="J89" i="8" s="1"/>
  <c r="J90" i="8" s="1"/>
  <c r="J91" i="8" s="1"/>
  <c r="J92" i="8" s="1"/>
  <c r="J93" i="8" s="1"/>
  <c r="J94" i="8" s="1"/>
  <c r="J95" i="8" s="1"/>
  <c r="J96" i="8" s="1"/>
  <c r="J97" i="8" s="1"/>
  <c r="J98" i="8" s="1"/>
  <c r="J99" i="8" s="1"/>
  <c r="J100" i="8" s="1"/>
  <c r="J101" i="8" s="1"/>
  <c r="J102" i="8" s="1"/>
  <c r="J103" i="8" s="1"/>
  <c r="J104" i="8" s="1"/>
  <c r="J105" i="8" s="1"/>
  <c r="J106" i="8" s="1"/>
  <c r="J107" i="8" s="1"/>
  <c r="J108" i="8" s="1"/>
  <c r="J109" i="8" s="1"/>
  <c r="J110" i="8" s="1"/>
  <c r="J111" i="8" s="1"/>
  <c r="J112" i="8" s="1"/>
  <c r="J113" i="8" s="1"/>
  <c r="J114" i="8" s="1"/>
  <c r="J115" i="8" s="1"/>
  <c r="J116" i="8" s="1"/>
  <c r="J117" i="8" s="1"/>
  <c r="J118" i="8" s="1"/>
  <c r="J119" i="8" s="1"/>
  <c r="J120" i="8" s="1"/>
  <c r="J121" i="8" s="1"/>
  <c r="J122" i="8" s="1"/>
  <c r="J123" i="8" s="1"/>
  <c r="J124" i="8" s="1"/>
  <c r="J125" i="8" s="1"/>
  <c r="J126" i="8" s="1"/>
  <c r="J127" i="8" s="1"/>
  <c r="J128" i="8" s="1"/>
  <c r="J129" i="8" s="1"/>
  <c r="J130" i="8" s="1"/>
  <c r="J131" i="8" s="1"/>
  <c r="J132" i="8" s="1"/>
  <c r="J133" i="8" s="1"/>
  <c r="J134" i="8" s="1"/>
  <c r="J135" i="8" s="1"/>
  <c r="J136" i="8" s="1"/>
  <c r="J137" i="8" s="1"/>
  <c r="J138" i="8" s="1"/>
  <c r="J139" i="8" s="1"/>
  <c r="J140" i="8" s="1"/>
  <c r="J141" i="8" s="1"/>
  <c r="J142" i="8" s="1"/>
  <c r="J143" i="8" s="1"/>
  <c r="J144" i="8" s="1"/>
  <c r="H7" i="4" l="1"/>
  <c r="L11" i="4" s="1"/>
  <c r="H31" i="4"/>
  <c r="L7" i="4" l="1"/>
  <c r="D22" i="7"/>
  <c r="E13" i="8"/>
  <c r="D13" i="8"/>
  <c r="C13" i="8"/>
  <c r="E9" i="8"/>
  <c r="D9" i="8"/>
  <c r="C9" i="8"/>
  <c r="E5" i="8"/>
  <c r="D5" i="8"/>
  <c r="C5" i="8"/>
  <c r="D20" i="7" l="1"/>
  <c r="D18" i="7"/>
  <c r="D16" i="7" l="1"/>
  <c r="I16" i="7" s="1"/>
  <c r="D14" i="7"/>
  <c r="I14" i="7" s="1"/>
  <c r="D12" i="7"/>
  <c r="I50" i="7"/>
  <c r="I48" i="7"/>
  <c r="I46" i="7"/>
  <c r="I44" i="7"/>
  <c r="I42" i="7"/>
  <c r="I40" i="7"/>
  <c r="I38" i="7"/>
  <c r="I36" i="7"/>
  <c r="I34" i="7"/>
  <c r="I32" i="7"/>
  <c r="I30" i="7"/>
  <c r="I28" i="7"/>
  <c r="I26" i="7"/>
  <c r="I24" i="7"/>
  <c r="I22" i="7"/>
  <c r="I20" i="7"/>
  <c r="I18" i="7"/>
  <c r="I12" i="7" l="1"/>
  <c r="D10" i="7"/>
  <c r="I10" i="7" s="1"/>
  <c r="D8" i="7" l="1"/>
  <c r="I8" i="7" s="1"/>
  <c r="D6" i="7" l="1"/>
  <c r="I6" i="7" s="1"/>
  <c r="I18" i="6" l="1"/>
  <c r="I17" i="6"/>
  <c r="I16" i="6"/>
  <c r="I15" i="6"/>
  <c r="I14" i="6"/>
  <c r="I13" i="6"/>
  <c r="I12" i="6"/>
  <c r="I11" i="6"/>
  <c r="F7" i="6" s="1"/>
  <c r="I9" i="6"/>
  <c r="I8" i="6"/>
  <c r="F20" i="4" l="1"/>
  <c r="F15" i="4"/>
  <c r="F23" i="4"/>
  <c r="B54" i="1" l="1"/>
  <c r="D60" i="1"/>
  <c r="D58" i="1"/>
  <c r="D65" i="1"/>
  <c r="G65" i="1" l="1"/>
  <c r="H65" i="1"/>
  <c r="E43" i="1"/>
  <c r="I46" i="1" s="1"/>
  <c r="E9" i="1"/>
  <c r="I65" i="1" l="1"/>
  <c r="B52" i="1"/>
  <c r="H16" i="1" l="1"/>
  <c r="I9" i="1"/>
  <c r="G16" i="1" s="1"/>
  <c r="I43" i="1"/>
  <c r="I16" i="1" l="1"/>
  <c r="I19" i="1"/>
  <c r="L9" i="18"/>
</calcChain>
</file>

<file path=xl/sharedStrings.xml><?xml version="1.0" encoding="utf-8"?>
<sst xmlns="http://schemas.openxmlformats.org/spreadsheetml/2006/main" count="2792" uniqueCount="1653">
  <si>
    <t>三角関数計算表</t>
    <rPh sb="0" eb="7">
      <t>サン</t>
    </rPh>
    <phoneticPr fontId="1"/>
  </si>
  <si>
    <t>↓</t>
    <phoneticPr fontId="1"/>
  </si>
  <si>
    <t>=</t>
    <phoneticPr fontId="1"/>
  </si>
  <si>
    <t>A長</t>
    <rPh sb="1" eb="2">
      <t>チョウ</t>
    </rPh>
    <phoneticPr fontId="1"/>
  </si>
  <si>
    <t>B</t>
    <phoneticPr fontId="1"/>
  </si>
  <si>
    <t>B長</t>
    <rPh sb="1" eb="2">
      <t>チョウ</t>
    </rPh>
    <phoneticPr fontId="1"/>
  </si>
  <si>
    <t>θ（度）</t>
    <rPh sb="2" eb="3">
      <t>ド</t>
    </rPh>
    <phoneticPr fontId="1"/>
  </si>
  <si>
    <t>結果</t>
    <rPh sb="0" eb="2">
      <t>ケッカ</t>
    </rPh>
    <phoneticPr fontId="1"/>
  </si>
  <si>
    <t>C</t>
    <phoneticPr fontId="1"/>
  </si>
  <si>
    <t>A</t>
    <phoneticPr fontId="1"/>
  </si>
  <si>
    <t>C</t>
    <phoneticPr fontId="1"/>
  </si>
  <si>
    <t>B</t>
    <phoneticPr fontId="1"/>
  </si>
  <si>
    <t xml:space="preserve">sinθ= </t>
    <phoneticPr fontId="1"/>
  </si>
  <si>
    <t xml:space="preserve">cosθ= </t>
    <phoneticPr fontId="1"/>
  </si>
  <si>
    <t xml:space="preserve">tanθ= </t>
    <phoneticPr fontId="1"/>
  </si>
  <si>
    <t>°</t>
    <phoneticPr fontId="1"/>
  </si>
  <si>
    <t>[rad] =</t>
    <phoneticPr fontId="1"/>
  </si>
  <si>
    <t>入力</t>
    <rPh sb="0" eb="2">
      <t>ニュウリョク</t>
    </rPh>
    <phoneticPr fontId="1"/>
  </si>
  <si>
    <t>結果</t>
    <rPh sb="0" eb="2">
      <t>ケッカ</t>
    </rPh>
    <phoneticPr fontId="1"/>
  </si>
  <si>
    <t>[rad]</t>
    <phoneticPr fontId="1"/>
  </si>
  <si>
    <t xml:space="preserve">S = </t>
    <phoneticPr fontId="1"/>
  </si>
  <si>
    <r>
      <t>r</t>
    </r>
    <r>
      <rPr>
        <b/>
        <sz val="8"/>
        <color theme="1"/>
        <rFont val="ＭＳ Ｐゴシック"/>
        <family val="3"/>
        <charset val="128"/>
        <scheme val="minor"/>
      </rPr>
      <t>2</t>
    </r>
    <r>
      <rPr>
        <b/>
        <sz val="14"/>
        <color theme="1"/>
        <rFont val="ＭＳ Ｐゴシック"/>
        <family val="3"/>
        <charset val="128"/>
        <scheme val="minor"/>
      </rPr>
      <t>θ</t>
    </r>
    <phoneticPr fontId="1"/>
  </si>
  <si>
    <t>sin の値</t>
    <rPh sb="5" eb="6">
      <t>アタイ</t>
    </rPh>
    <phoneticPr fontId="1"/>
  </si>
  <si>
    <t>cos の値</t>
    <rPh sb="5" eb="6">
      <t>アタイ</t>
    </rPh>
    <phoneticPr fontId="1"/>
  </si>
  <si>
    <t>㎡</t>
    <phoneticPr fontId="1"/>
  </si>
  <si>
    <t>面積</t>
    <rPh sb="0" eb="2">
      <t>メンセキ</t>
    </rPh>
    <phoneticPr fontId="1"/>
  </si>
  <si>
    <t>斜辺C長（円の半径 r ）</t>
    <rPh sb="0" eb="2">
      <t>シャヘン</t>
    </rPh>
    <rPh sb="3" eb="4">
      <t>チョウ</t>
    </rPh>
    <rPh sb="5" eb="6">
      <t>エン</t>
    </rPh>
    <rPh sb="7" eb="9">
      <t>ハンケイ</t>
    </rPh>
    <phoneticPr fontId="1"/>
  </si>
  <si>
    <t>数学/高度な計算 関数一覧</t>
  </si>
  <si>
    <t>関数名が2段になっているのは、Excel2010から関数名が変わったものです。（下の段が変更後の関数）</t>
  </si>
  <si>
    <t>目的分類</t>
  </si>
  <si>
    <t>簡易説明</t>
  </si>
  <si>
    <t>関数名</t>
  </si>
  <si>
    <t>掛け算と割り算</t>
  </si>
  <si>
    <t>割り算の商（整数部）を求める</t>
  </si>
  <si>
    <t>QUOTIENT</t>
  </si>
  <si>
    <t>割り算の余りを求める</t>
  </si>
  <si>
    <t>MOD</t>
  </si>
  <si>
    <t>範囲内を掛け算します</t>
  </si>
  <si>
    <t>PRODUCT</t>
  </si>
  <si>
    <t>条件を満たすレコードのフィールド値の積を求める</t>
  </si>
  <si>
    <t>DPRODUCT</t>
  </si>
  <si>
    <t>べき乗の計算</t>
  </si>
  <si>
    <t>平方和を求める</t>
  </si>
  <si>
    <t>SUMSQ</t>
  </si>
  <si>
    <t>べき乗を求める</t>
  </si>
  <si>
    <t>POWER</t>
  </si>
  <si>
    <t>べき級数の和を求める</t>
  </si>
  <si>
    <t>SERIESSUM</t>
  </si>
  <si>
    <t>定数eのべき乗を求める</t>
  </si>
  <si>
    <t>EXP</t>
  </si>
  <si>
    <t>ルートの計算</t>
  </si>
  <si>
    <t>平方根を求める</t>
  </si>
  <si>
    <t>SQRT</t>
  </si>
  <si>
    <t>(数値 * π) の平方根を求める</t>
  </si>
  <si>
    <t>SQRTPI</t>
  </si>
  <si>
    <t>階乗の計算</t>
  </si>
  <si>
    <t>階乗を求める</t>
  </si>
  <si>
    <t>FACT</t>
  </si>
  <si>
    <t>複数の数値の多項係数を求める</t>
  </si>
  <si>
    <t>MULTINOMIAL</t>
  </si>
  <si>
    <t>二重階乗を求める</t>
  </si>
  <si>
    <t>FACTDOUBLE</t>
  </si>
  <si>
    <t>対数の計算</t>
  </si>
  <si>
    <t>対数を求める</t>
  </si>
  <si>
    <t>LOG</t>
  </si>
  <si>
    <t>自然対数を求める</t>
  </si>
  <si>
    <t>LN</t>
  </si>
  <si>
    <t>ガンマ関数の自然対数を求める</t>
  </si>
  <si>
    <t>GAMMALN</t>
  </si>
  <si>
    <t>GAMMALN.PRECISE</t>
  </si>
  <si>
    <t>常用対数を求める</t>
  </si>
  <si>
    <t>LOG10</t>
  </si>
  <si>
    <t>絶対値の計算</t>
  </si>
  <si>
    <t>絶対値を求める</t>
  </si>
  <si>
    <t>ABS</t>
  </si>
  <si>
    <t>最大と最小</t>
  </si>
  <si>
    <t>最小値を求める</t>
  </si>
  <si>
    <t>MIN</t>
  </si>
  <si>
    <t>最小値を求める（文字列および論理値を含む）</t>
  </si>
  <si>
    <t>MINA</t>
  </si>
  <si>
    <t>最大値を求める</t>
  </si>
  <si>
    <t>MAX</t>
  </si>
  <si>
    <t>最大値を求める（文字列および論理値を含む）</t>
  </si>
  <si>
    <t>MAXA</t>
  </si>
  <si>
    <t>条件を満たすレコードの最小値を求める</t>
  </si>
  <si>
    <t>DMIN</t>
  </si>
  <si>
    <t>条件を満たすレコードの最大値を求める</t>
  </si>
  <si>
    <t>DMAX</t>
  </si>
  <si>
    <t>最大公約数と最小公倍数</t>
  </si>
  <si>
    <t>最小公倍数を求める</t>
  </si>
  <si>
    <t>LCM</t>
  </si>
  <si>
    <t>最大公約数を求める</t>
  </si>
  <si>
    <t>GCD</t>
  </si>
  <si>
    <t>角度を求める</t>
  </si>
  <si>
    <t>ラジアンを度に変換する</t>
  </si>
  <si>
    <t>DEGREES</t>
  </si>
  <si>
    <t>度をラジアンに変換する</t>
  </si>
  <si>
    <t>RADIANS</t>
  </si>
  <si>
    <t>三角関数</t>
  </si>
  <si>
    <t>サインを求める</t>
  </si>
  <si>
    <t>SIN</t>
  </si>
  <si>
    <t>コサインを求める</t>
  </si>
  <si>
    <t>COS</t>
  </si>
  <si>
    <t>タンジェントを求める</t>
  </si>
  <si>
    <t>TAN</t>
  </si>
  <si>
    <t>アークサインを求める</t>
  </si>
  <si>
    <t>ASIN</t>
  </si>
  <si>
    <t>アークコサインを求める</t>
  </si>
  <si>
    <t>ACOS</t>
  </si>
  <si>
    <t>アークタンジェントを求める</t>
  </si>
  <si>
    <t>ATAN</t>
  </si>
  <si>
    <t>x-y 座標のアークタンジェントを求める</t>
  </si>
  <si>
    <t>ATAN2</t>
  </si>
  <si>
    <t>双曲線正弦を求める</t>
  </si>
  <si>
    <t>SINH</t>
  </si>
  <si>
    <t>双曲線逆正弦を求める</t>
  </si>
  <si>
    <t>ASINH</t>
  </si>
  <si>
    <t>双曲線余弦を求める</t>
  </si>
  <si>
    <t>COSH</t>
  </si>
  <si>
    <t>双曲線逆余弦を求める</t>
  </si>
  <si>
    <t>ACOSH</t>
  </si>
  <si>
    <t>双曲線正接を求める</t>
  </si>
  <si>
    <t>TANH</t>
  </si>
  <si>
    <t>双曲線逆正接を求める</t>
  </si>
  <si>
    <t>ATANH</t>
  </si>
  <si>
    <t>円周率を求める</t>
  </si>
  <si>
    <t>PI</t>
  </si>
  <si>
    <t>数値の正負</t>
  </si>
  <si>
    <t>数値の正負を調べる</t>
  </si>
  <si>
    <t>SIGN</t>
  </si>
  <si>
    <t>乱数を求める</t>
  </si>
  <si>
    <t>0 以上 1 未満の乱数を求める</t>
  </si>
  <si>
    <t>RAND</t>
  </si>
  <si>
    <t>範囲内の整数の乱数を求める</t>
  </si>
  <si>
    <t>RANDBETWEEN</t>
  </si>
  <si>
    <t>配列の計算</t>
  </si>
  <si>
    <t>配列要素の積の合計を求める</t>
  </si>
  <si>
    <t>SUMPRODUCT</t>
  </si>
  <si>
    <t>行列積を求める</t>
  </si>
  <si>
    <t>MMULT</t>
  </si>
  <si>
    <t>回帰直線による予測値を配列にする</t>
  </si>
  <si>
    <t>TREND</t>
  </si>
  <si>
    <t>配列から四分位数を求める</t>
  </si>
  <si>
    <t>QUARTILE</t>
  </si>
  <si>
    <t>QUARTILE.INC</t>
  </si>
  <si>
    <t>配列から四分位数を求める(0 より大きく 1 より小さい)</t>
  </si>
  <si>
    <t>QUARTILE.EXC</t>
  </si>
  <si>
    <t>行と列を入れ替える</t>
  </si>
  <si>
    <t>TRANSPOSE</t>
  </si>
  <si>
    <t>行列式を求める</t>
  </si>
  <si>
    <t>MDETERM</t>
  </si>
  <si>
    <t>逆行列を求める</t>
  </si>
  <si>
    <t>MINVERSE</t>
  </si>
  <si>
    <t>百分率に基づく順位を求める</t>
  </si>
  <si>
    <t>PERCENTRANK</t>
  </si>
  <si>
    <t>PERCENTRANK.INC</t>
  </si>
  <si>
    <t>百分率に基づく順位を求める(0 より大きく 1 より小さい)</t>
  </si>
  <si>
    <t>PERCENTRANK.EXC</t>
  </si>
  <si>
    <t>百分位で位置を求める</t>
  </si>
  <si>
    <t>PERCENTILE</t>
  </si>
  <si>
    <t>PERCENTILE.INC</t>
  </si>
  <si>
    <t>百分位で位置を求める(0 より大きく 1 より小さい)</t>
  </si>
  <si>
    <t>PERCENTILE.EXC</t>
  </si>
  <si>
    <t>配列要素の平方差の合計を求める</t>
  </si>
  <si>
    <t>SUMX2MY2</t>
  </si>
  <si>
    <t>配列要素の平方和の合計を求める</t>
  </si>
  <si>
    <t>SUMX2PY2</t>
  </si>
  <si>
    <t>配列要素の差を 2乗して合計を求める</t>
  </si>
  <si>
    <t>SUMXMY2</t>
  </si>
  <si>
    <t>回帰指数曲線の係数の値を配列にする</t>
  </si>
  <si>
    <t>LOGEST</t>
  </si>
  <si>
    <t>回帰直線の係数の値を配列にする</t>
  </si>
  <si>
    <t>LINEST</t>
  </si>
  <si>
    <t>頻度分布を縦方向の数値を配列にする</t>
  </si>
  <si>
    <t>FREQUENCY</t>
  </si>
  <si>
    <t>相関係数を求める</t>
  </si>
  <si>
    <t>CORREL</t>
  </si>
  <si>
    <t>回帰直線の計算</t>
  </si>
  <si>
    <t>将来の値を予測する</t>
  </si>
  <si>
    <t>FORECAST</t>
  </si>
  <si>
    <t>指数曲線から予測される値を求める</t>
  </si>
  <si>
    <t>GROWTH</t>
  </si>
  <si>
    <t>線形回帰直線の切片を求める</t>
  </si>
  <si>
    <t>INTERCEPT</t>
  </si>
  <si>
    <t>ピアソンの積率相関係数 r の値を求める</t>
  </si>
  <si>
    <t>PEARSON</t>
  </si>
  <si>
    <t>ピアソンの積率相関係数の 2 乗値を求める</t>
  </si>
  <si>
    <t>RSQ</t>
  </si>
  <si>
    <t>回帰直線の傾きを求める</t>
  </si>
  <si>
    <t>SLOPE</t>
  </si>
  <si>
    <t>回帰直線の標準誤差を求める</t>
  </si>
  <si>
    <t>STEYX</t>
  </si>
  <si>
    <t>複素数の計算</t>
  </si>
  <si>
    <t>複素数の自然対数を求める</t>
  </si>
  <si>
    <t>IMLN</t>
  </si>
  <si>
    <t>複素数の 2 を底とする対数を求める</t>
  </si>
  <si>
    <t>IMLOG2</t>
  </si>
  <si>
    <t>複素数の 10 を底とする対数を求める</t>
  </si>
  <si>
    <t>IMLOG10</t>
  </si>
  <si>
    <t>複素数のサインを求める</t>
  </si>
  <si>
    <t>IMSIN</t>
  </si>
  <si>
    <t>複素数のコサインを求める</t>
  </si>
  <si>
    <t>IMCOS</t>
  </si>
  <si>
    <t>2 つの複素数の差を求める</t>
  </si>
  <si>
    <t>IMSUB</t>
  </si>
  <si>
    <t>複素数の和を求める</t>
  </si>
  <si>
    <t>IMSUM</t>
  </si>
  <si>
    <t>複素数の積を求める</t>
  </si>
  <si>
    <t>IMPRODUCT</t>
  </si>
  <si>
    <t>複素数の商を求める</t>
  </si>
  <si>
    <t>IMDIV</t>
  </si>
  <si>
    <t>複素数のべき乗を求める</t>
  </si>
  <si>
    <t>IMEXP</t>
  </si>
  <si>
    <t>複素数の整数乗を求める</t>
  </si>
  <si>
    <t>IMPOWER</t>
  </si>
  <si>
    <t>複素数の平方根を求める</t>
  </si>
  <si>
    <t>IMSQRT</t>
  </si>
  <si>
    <t>複素数の実数係数を求める</t>
  </si>
  <si>
    <t>IMREAL</t>
  </si>
  <si>
    <t>複素数の複素共役を求める</t>
  </si>
  <si>
    <t>IMCONJUGATE</t>
  </si>
  <si>
    <t>複素数の虚数係数を求める</t>
  </si>
  <si>
    <t>IMAGINARY</t>
  </si>
  <si>
    <t>複素数の絶対値を求める</t>
  </si>
  <si>
    <t>IMABS</t>
  </si>
  <si>
    <t>複素数に変換する</t>
  </si>
  <si>
    <t>COMPLEX</t>
  </si>
  <si>
    <t>偏角θの値をラジアンで求める</t>
  </si>
  <si>
    <t>IMARGUMENT</t>
  </si>
  <si>
    <t>誤差関数</t>
  </si>
  <si>
    <t>積分値を求める</t>
  </si>
  <si>
    <t>ERF</t>
  </si>
  <si>
    <t>誤差関数の積分値を求める</t>
  </si>
  <si>
    <t>ERF.PRECISE</t>
  </si>
  <si>
    <t>相補誤差関数の積分値を求める</t>
  </si>
  <si>
    <t>ERFC</t>
  </si>
  <si>
    <t>ERFC.PRECISE</t>
  </si>
  <si>
    <t>相関係数の計算</t>
  </si>
  <si>
    <t>フィッシャー変換の値を求める</t>
  </si>
  <si>
    <t>FISHER</t>
  </si>
  <si>
    <t>フィッシャー変換の逆関数の値を求める</t>
  </si>
  <si>
    <t>FISHERINV</t>
  </si>
  <si>
    <t>共分散を求める</t>
  </si>
  <si>
    <t>COVAR</t>
  </si>
  <si>
    <t>COVARIANCE.P</t>
  </si>
  <si>
    <t>ベッセル関数</t>
  </si>
  <si>
    <t>ベッセル関数 Jn(x) を求める</t>
  </si>
  <si>
    <t>BESSELJ</t>
  </si>
  <si>
    <t>修正ベッセル関数 In(x) を求める</t>
  </si>
  <si>
    <t>BESSELI</t>
  </si>
  <si>
    <t>ベッセル関数 Yn(x) を求める</t>
  </si>
  <si>
    <t>BESSELY</t>
  </si>
  <si>
    <t>修正ベッセル関数 Kn(x) を求める</t>
  </si>
  <si>
    <t>BESSELK</t>
  </si>
  <si>
    <r>
      <rPr>
        <b/>
        <sz val="11"/>
        <color theme="1"/>
        <rFont val="ＭＳ Ｐゴシック"/>
        <family val="3"/>
        <charset val="128"/>
        <scheme val="minor"/>
      </rPr>
      <t>自然対数の底</t>
    </r>
    <r>
      <rPr>
        <b/>
        <sz val="14"/>
        <color theme="1"/>
        <rFont val="ＭＳ Ｐゴシック"/>
        <family val="3"/>
        <charset val="128"/>
        <scheme val="minor"/>
      </rPr>
      <t xml:space="preserve"> e →</t>
    </r>
    <rPh sb="0" eb="5">
      <t>シゼ</t>
    </rPh>
    <rPh sb="5" eb="6">
      <t>テイ</t>
    </rPh>
    <phoneticPr fontId="1"/>
  </si>
  <si>
    <t xml:space="preserve"> =</t>
    <phoneticPr fontId="1"/>
  </si>
  <si>
    <t>e</t>
    <phoneticPr fontId="1"/>
  </si>
  <si>
    <r>
      <t xml:space="preserve">Y = log </t>
    </r>
    <r>
      <rPr>
        <b/>
        <sz val="10"/>
        <color theme="1"/>
        <rFont val="ＭＳ Ｐゴシック"/>
        <family val="3"/>
        <charset val="128"/>
        <scheme val="minor"/>
      </rPr>
      <t xml:space="preserve">e </t>
    </r>
    <r>
      <rPr>
        <b/>
        <sz val="14"/>
        <color theme="1"/>
        <rFont val="ＭＳ Ｐゴシック"/>
        <family val="3"/>
        <charset val="128"/>
        <scheme val="minor"/>
      </rPr>
      <t>X　（ e を何乗すると X になるかを表しており、e を底といい、１でない正の数に限られる）</t>
    </r>
    <rPh sb="17" eb="19">
      <t>ナンジョウ</t>
    </rPh>
    <rPh sb="30" eb="31">
      <t>アラワ</t>
    </rPh>
    <rPh sb="39" eb="40">
      <t>テイ</t>
    </rPh>
    <rPh sb="48" eb="49">
      <t>セイ</t>
    </rPh>
    <rPh sb="50" eb="51">
      <t>カズ</t>
    </rPh>
    <rPh sb="52" eb="53">
      <t>カギ</t>
    </rPh>
    <phoneticPr fontId="1"/>
  </si>
  <si>
    <t>電力対数（dB）</t>
    <rPh sb="0" eb="2">
      <t>デンリョク</t>
    </rPh>
    <rPh sb="2" eb="4">
      <t>タイスウ</t>
    </rPh>
    <phoneticPr fontId="1"/>
  </si>
  <si>
    <t>dB</t>
    <phoneticPr fontId="1"/>
  </si>
  <si>
    <t>10log（利得 X ）＝電力対数（dB）</t>
    <rPh sb="6" eb="8">
      <t>リトク</t>
    </rPh>
    <rPh sb="13" eb="15">
      <t>デンリョク</t>
    </rPh>
    <rPh sb="15" eb="17">
      <t>タイスウ</t>
    </rPh>
    <phoneticPr fontId="1"/>
  </si>
  <si>
    <t>電圧対数（dB）</t>
    <rPh sb="0" eb="2">
      <t>デンアツ</t>
    </rPh>
    <rPh sb="2" eb="4">
      <t>タイスウ</t>
    </rPh>
    <phoneticPr fontId="1"/>
  </si>
  <si>
    <t>20log（利得 X ）＝電圧対数（dB）</t>
    <rPh sb="6" eb="8">
      <t>リトク</t>
    </rPh>
    <rPh sb="13" eb="15">
      <t>デンアツ</t>
    </rPh>
    <rPh sb="15" eb="17">
      <t>タイスウ</t>
    </rPh>
    <phoneticPr fontId="1"/>
  </si>
  <si>
    <t>電力対数（dB）から倍率を求める</t>
    <rPh sb="0" eb="2">
      <t>デンリョク</t>
    </rPh>
    <rPh sb="2" eb="4">
      <t>タイスウ</t>
    </rPh>
    <rPh sb="10" eb="12">
      <t>バイリツ</t>
    </rPh>
    <rPh sb="13" eb="14">
      <t>モト</t>
    </rPh>
    <phoneticPr fontId="1"/>
  </si>
  <si>
    <t>電圧対数（dB）から倍率を求める</t>
    <rPh sb="0" eb="2">
      <t>デンアツ</t>
    </rPh>
    <rPh sb="2" eb="4">
      <t>タイスウ</t>
    </rPh>
    <rPh sb="10" eb="12">
      <t>バイリツ</t>
    </rPh>
    <rPh sb="13" eb="14">
      <t>モト</t>
    </rPh>
    <phoneticPr fontId="1"/>
  </si>
  <si>
    <t>絶対利得</t>
    <rPh sb="0" eb="2">
      <t>ゼッタイ</t>
    </rPh>
    <rPh sb="2" eb="4">
      <t>リトク</t>
    </rPh>
    <phoneticPr fontId="1"/>
  </si>
  <si>
    <r>
      <rPr>
        <b/>
        <sz val="14"/>
        <color theme="1"/>
        <rFont val="ＭＳ Ｐゴシック"/>
        <family val="3"/>
        <charset val="128"/>
        <scheme val="minor"/>
      </rPr>
      <t>dbw</t>
    </r>
    <r>
      <rPr>
        <sz val="14"/>
        <color theme="1"/>
        <rFont val="ＭＳ Ｐゴシック"/>
        <family val="2"/>
        <charset val="128"/>
        <scheme val="minor"/>
      </rPr>
      <t xml:space="preserve"> → 1W = 0dbw    　</t>
    </r>
    <r>
      <rPr>
        <b/>
        <sz val="14"/>
        <color theme="1"/>
        <rFont val="ＭＳ Ｐゴシック"/>
        <family val="3"/>
        <charset val="128"/>
        <scheme val="minor"/>
      </rPr>
      <t>dBm</t>
    </r>
    <r>
      <rPr>
        <sz val="14"/>
        <color theme="1"/>
        <rFont val="ＭＳ Ｐゴシック"/>
        <family val="2"/>
        <charset val="128"/>
        <scheme val="minor"/>
      </rPr>
      <t xml:space="preserve"> → 1mw = 0dBm    　</t>
    </r>
    <r>
      <rPr>
        <b/>
        <sz val="14"/>
        <color theme="1"/>
        <rFont val="ＭＳ Ｐゴシック"/>
        <family val="3"/>
        <charset val="128"/>
        <scheme val="minor"/>
      </rPr>
      <t>dBμ</t>
    </r>
    <r>
      <rPr>
        <sz val="14"/>
        <color theme="1"/>
        <rFont val="ＭＳ Ｐゴシック"/>
        <family val="2"/>
        <charset val="128"/>
        <scheme val="minor"/>
      </rPr>
      <t xml:space="preserve"> → 1μw = 0dBμ</t>
    </r>
    <phoneticPr fontId="1"/>
  </si>
  <si>
    <t>一般的入力電圧とインピーダンス</t>
    <rPh sb="0" eb="3">
      <t>イッパンテキ</t>
    </rPh>
    <rPh sb="3" eb="5">
      <t>ニュウリョク</t>
    </rPh>
    <rPh sb="5" eb="7">
      <t>デンアツ</t>
    </rPh>
    <phoneticPr fontId="1"/>
  </si>
  <si>
    <r>
      <t xml:space="preserve">パワーアンプ　　　　　　　　　　　→　1V </t>
    </r>
    <r>
      <rPr>
        <sz val="11"/>
        <color theme="1"/>
        <rFont val="ＭＳ Ｐゴシック"/>
        <family val="3"/>
        <charset val="128"/>
        <scheme val="minor"/>
      </rPr>
      <t>rms</t>
    </r>
    <r>
      <rPr>
        <sz val="14"/>
        <color theme="1"/>
        <rFont val="ＭＳ Ｐゴシック"/>
        <family val="2"/>
        <charset val="128"/>
        <scheme val="minor"/>
      </rPr>
      <t xml:space="preserve"> / 50KΩ</t>
    </r>
    <phoneticPr fontId="1"/>
  </si>
  <si>
    <r>
      <t>プリアンプ　　　　　　　　　　　　　→　PHONO MC 1200μV</t>
    </r>
    <r>
      <rPr>
        <sz val="11"/>
        <color theme="1"/>
        <rFont val="ＭＳ Ｐゴシック"/>
        <family val="3"/>
        <charset val="128"/>
        <scheme val="minor"/>
      </rPr>
      <t>rms</t>
    </r>
    <r>
      <rPr>
        <sz val="14"/>
        <color theme="1"/>
        <rFont val="ＭＳ Ｐゴシック"/>
        <family val="2"/>
        <charset val="128"/>
        <scheme val="minor"/>
      </rPr>
      <t xml:space="preserve"> / 220Ω</t>
    </r>
    <phoneticPr fontId="1"/>
  </si>
  <si>
    <r>
      <t>プリアンプ　　　　　　　　　　　　　→　PHONO MM 0.5 ～ 3mV</t>
    </r>
    <r>
      <rPr>
        <sz val="11"/>
        <color theme="1"/>
        <rFont val="ＭＳ Ｐゴシック"/>
        <family val="3"/>
        <charset val="128"/>
        <scheme val="minor"/>
      </rPr>
      <t>rms</t>
    </r>
    <r>
      <rPr>
        <sz val="14"/>
        <color theme="1"/>
        <rFont val="ＭＳ Ｐゴシック"/>
        <family val="2"/>
        <charset val="128"/>
        <scheme val="minor"/>
      </rPr>
      <t xml:space="preserve"> / 50KΩ</t>
    </r>
    <phoneticPr fontId="1"/>
  </si>
  <si>
    <r>
      <t>プリアンプ　　　　　　　　　　　　　→　</t>
    </r>
    <r>
      <rPr>
        <sz val="14"/>
        <color theme="1"/>
        <rFont val="ＭＳ Ｐゴシック"/>
        <family val="3"/>
        <charset val="128"/>
        <scheme val="minor"/>
      </rPr>
      <t>TUNER・AUX・TAPE</t>
    </r>
    <r>
      <rPr>
        <sz val="14"/>
        <color theme="1"/>
        <rFont val="ＭＳ Ｐゴシック"/>
        <family val="2"/>
        <charset val="128"/>
        <scheme val="minor"/>
      </rPr>
      <t xml:space="preserve"> 150mV</t>
    </r>
    <r>
      <rPr>
        <sz val="11"/>
        <color theme="1"/>
        <rFont val="ＭＳ Ｐゴシック"/>
        <family val="3"/>
        <charset val="128"/>
        <scheme val="minor"/>
      </rPr>
      <t>rms</t>
    </r>
    <r>
      <rPr>
        <sz val="14"/>
        <color theme="1"/>
        <rFont val="ＭＳ Ｐゴシック"/>
        <family val="2"/>
        <charset val="128"/>
        <scheme val="minor"/>
      </rPr>
      <t xml:space="preserve"> / 85KΩ</t>
    </r>
    <phoneticPr fontId="1"/>
  </si>
  <si>
    <r>
      <t>Mic（ハイインピーダンス）</t>
    </r>
    <r>
      <rPr>
        <sz val="14"/>
        <color theme="1"/>
        <rFont val="ＭＳ Ｐゴシック"/>
        <family val="2"/>
        <charset val="128"/>
        <scheme val="minor"/>
      </rPr>
      <t>　　　　→　</t>
    </r>
    <r>
      <rPr>
        <sz val="14"/>
        <color theme="1"/>
        <rFont val="ＭＳ Ｐゴシック"/>
        <family val="3"/>
        <charset val="128"/>
        <scheme val="minor"/>
      </rPr>
      <t>1</t>
    </r>
    <r>
      <rPr>
        <sz val="14"/>
        <color theme="1"/>
        <rFont val="ＭＳ Ｐゴシック"/>
        <family val="2"/>
        <charset val="128"/>
        <scheme val="minor"/>
      </rPr>
      <t>mV ～ 10mV / 10KΩ ～ 50KΩ</t>
    </r>
    <phoneticPr fontId="1"/>
  </si>
  <si>
    <r>
      <t>Mic（ローインピーダンス）</t>
    </r>
    <r>
      <rPr>
        <sz val="14"/>
        <color theme="1"/>
        <rFont val="ＭＳ Ｐゴシック"/>
        <family val="2"/>
        <charset val="128"/>
        <scheme val="minor"/>
      </rPr>
      <t>　　　　→　</t>
    </r>
    <r>
      <rPr>
        <sz val="14"/>
        <color theme="1"/>
        <rFont val="ＭＳ Ｐゴシック"/>
        <family val="3"/>
        <charset val="128"/>
        <scheme val="minor"/>
      </rPr>
      <t>0.5μ</t>
    </r>
    <r>
      <rPr>
        <sz val="14"/>
        <color theme="1"/>
        <rFont val="ＭＳ Ｐゴシック"/>
        <family val="2"/>
        <charset val="128"/>
        <scheme val="minor"/>
      </rPr>
      <t>V ～ 300mV / 200Ω ～ 1KΩ</t>
    </r>
    <phoneticPr fontId="1"/>
  </si>
  <si>
    <t>↓</t>
    <phoneticPr fontId="1"/>
  </si>
  <si>
    <t>１０進数　→　１６進数</t>
    <rPh sb="2" eb="4">
      <t>シンスウ</t>
    </rPh>
    <phoneticPr fontId="1"/>
  </si>
  <si>
    <t>１６進数　→　１０進数</t>
    <rPh sb="2" eb="4">
      <t>シンスウ</t>
    </rPh>
    <rPh sb="9" eb="11">
      <t>シンスウ</t>
    </rPh>
    <phoneticPr fontId="1"/>
  </si>
  <si>
    <t>　２進数　→　１０進数</t>
    <rPh sb="2" eb="4">
      <t>シンスウ</t>
    </rPh>
    <rPh sb="9" eb="11">
      <t>シンスウ</t>
    </rPh>
    <phoneticPr fontId="1"/>
  </si>
  <si>
    <t>　２進数　→　１６進数</t>
    <rPh sb="2" eb="4">
      <t>シンスウ</t>
    </rPh>
    <phoneticPr fontId="1"/>
  </si>
  <si>
    <t>　８進数　→　１０進数</t>
    <rPh sb="2" eb="4">
      <t>シンスウ</t>
    </rPh>
    <phoneticPr fontId="1"/>
  </si>
  <si>
    <t>　８進数　→　１６進数</t>
    <rPh sb="2" eb="4">
      <t>シンスウ</t>
    </rPh>
    <rPh sb="9" eb="11">
      <t>シンスウ</t>
    </rPh>
    <phoneticPr fontId="1"/>
  </si>
  <si>
    <t>１０進数　→　　２進数</t>
    <rPh sb="2" eb="4">
      <t>シンスウ</t>
    </rPh>
    <rPh sb="9" eb="11">
      <t>シンスウ</t>
    </rPh>
    <phoneticPr fontId="1"/>
  </si>
  <si>
    <t>１０進数　→　　８進数</t>
    <rPh sb="2" eb="4">
      <t>シンスウ</t>
    </rPh>
    <rPh sb="9" eb="11">
      <t>シンスウ</t>
    </rPh>
    <phoneticPr fontId="1"/>
  </si>
  <si>
    <t>１６進数　→　　２進数</t>
    <rPh sb="2" eb="4">
      <t>シンスウ</t>
    </rPh>
    <rPh sb="9" eb="11">
      <t>シンスウ</t>
    </rPh>
    <phoneticPr fontId="1"/>
  </si>
  <si>
    <t>１６進数　→　　８進数</t>
    <rPh sb="2" eb="4">
      <t>シンスウ</t>
    </rPh>
    <phoneticPr fontId="1"/>
  </si>
  <si>
    <t>　８進数　→　　２進数</t>
    <rPh sb="2" eb="4">
      <t>シンスウ</t>
    </rPh>
    <rPh sb="9" eb="11">
      <t>シンスウ</t>
    </rPh>
    <phoneticPr fontId="1"/>
  </si>
  <si>
    <t>変換元の数字を入力</t>
    <rPh sb="0" eb="2">
      <t>ヘンカン</t>
    </rPh>
    <rPh sb="2" eb="3">
      <t>モト</t>
    </rPh>
    <rPh sb="4" eb="6">
      <t>スウジ</t>
    </rPh>
    <rPh sb="7" eb="9">
      <t>ニュウリョク</t>
    </rPh>
    <phoneticPr fontId="1"/>
  </si>
  <si>
    <t>進数変換の種類（選択）</t>
    <rPh sb="0" eb="2">
      <t>シンスウ</t>
    </rPh>
    <rPh sb="2" eb="4">
      <t>ヘンカン</t>
    </rPh>
    <rPh sb="5" eb="7">
      <t>シュルイ</t>
    </rPh>
    <rPh sb="8" eb="10">
      <t>センタク</t>
    </rPh>
    <phoneticPr fontId="1"/>
  </si>
  <si>
    <t>↓</t>
    <phoneticPr fontId="1"/>
  </si>
  <si>
    <t>進法変換表</t>
    <rPh sb="0" eb="2">
      <t>シンホウ</t>
    </rPh>
    <rPh sb="2" eb="4">
      <t>ヘンカン</t>
    </rPh>
    <rPh sb="4" eb="5">
      <t>ヒョウ</t>
    </rPh>
    <phoneticPr fontId="1"/>
  </si>
  <si>
    <t>変換結果</t>
    <rPh sb="0" eb="2">
      <t>ヘンカン</t>
    </rPh>
    <rPh sb="2" eb="4">
      <t>ケッカ</t>
    </rPh>
    <phoneticPr fontId="1"/>
  </si>
  <si>
    <t>　２進数　→　　８進数</t>
    <rPh sb="2" eb="4">
      <t>シンスウ</t>
    </rPh>
    <phoneticPr fontId="1"/>
  </si>
  <si>
    <t>倍率[利得]</t>
    <rPh sb="0" eb="2">
      <t>バイリツ</t>
    </rPh>
    <rPh sb="3" eb="5">
      <t>リトク</t>
    </rPh>
    <phoneticPr fontId="1"/>
  </si>
  <si>
    <t>メートル[m]</t>
    <phoneticPr fontId="1"/>
  </si>
  <si>
    <t>インチ[in]</t>
    <phoneticPr fontId="1"/>
  </si>
  <si>
    <t>フィート[ft]</t>
    <phoneticPr fontId="1"/>
  </si>
  <si>
    <t>ヤード[yd]</t>
    <phoneticPr fontId="1"/>
  </si>
  <si>
    <t>マイル[mile]</t>
    <phoneticPr fontId="1"/>
  </si>
  <si>
    <t>海里[n mile]</t>
    <rPh sb="0" eb="2">
      <t>カイリ</t>
    </rPh>
    <phoneticPr fontId="1"/>
  </si>
  <si>
    <t>天文単位[AU]</t>
    <rPh sb="0" eb="2">
      <t>テンモン</t>
    </rPh>
    <rPh sb="2" eb="4">
      <t>タンイ</t>
    </rPh>
    <phoneticPr fontId="1"/>
  </si>
  <si>
    <t>パーセク[pc]</t>
    <phoneticPr fontId="1"/>
  </si>
  <si>
    <t>寸[寸]</t>
    <rPh sb="0" eb="1">
      <t>スン</t>
    </rPh>
    <rPh sb="2" eb="3">
      <t>スン</t>
    </rPh>
    <phoneticPr fontId="1"/>
  </si>
  <si>
    <t>尺[尺]</t>
    <rPh sb="0" eb="1">
      <t>シャク</t>
    </rPh>
    <rPh sb="2" eb="3">
      <t>シャク</t>
    </rPh>
    <phoneticPr fontId="1"/>
  </si>
  <si>
    <t>間[間]</t>
    <rPh sb="0" eb="1">
      <t>ケン</t>
    </rPh>
    <rPh sb="2" eb="3">
      <t>ケン</t>
    </rPh>
    <phoneticPr fontId="1"/>
  </si>
  <si>
    <t>町[町]</t>
    <rPh sb="0" eb="1">
      <t>チョウ</t>
    </rPh>
    <rPh sb="2" eb="3">
      <t>チョウ</t>
    </rPh>
    <phoneticPr fontId="1"/>
  </si>
  <si>
    <t>里[里]</t>
    <rPh sb="0" eb="1">
      <t>リ</t>
    </rPh>
    <rPh sb="2" eb="3">
      <t>リ</t>
    </rPh>
    <phoneticPr fontId="1"/>
  </si>
  <si>
    <t>チェーン[chain]</t>
    <phoneticPr fontId="1"/>
  </si>
  <si>
    <t>※　Excel 2007 以降には初めから変換関数が用意されている。（数式タブ → その他の関数 → エンジニアリング）</t>
    <rPh sb="13" eb="15">
      <t>イコウ</t>
    </rPh>
    <rPh sb="17" eb="18">
      <t>ハジ</t>
    </rPh>
    <rPh sb="21" eb="23">
      <t>ヘンカン</t>
    </rPh>
    <rPh sb="23" eb="25">
      <t>カンスウ</t>
    </rPh>
    <rPh sb="26" eb="28">
      <t>ヨウイ</t>
    </rPh>
    <rPh sb="35" eb="37">
      <t>スウシキ</t>
    </rPh>
    <rPh sb="44" eb="45">
      <t>タ</t>
    </rPh>
    <rPh sb="46" eb="48">
      <t>カンスウ</t>
    </rPh>
    <phoneticPr fontId="1"/>
  </si>
  <si>
    <t>ｵﾝｸﾞｽﾄﾛｰﾑ[Å]</t>
    <phoneticPr fontId="1"/>
  </si>
  <si>
    <t>間[間]</t>
    <rPh sb="0" eb="1">
      <t>ケン</t>
    </rPh>
    <phoneticPr fontId="1"/>
  </si>
  <si>
    <t>メートル[m]</t>
  </si>
  <si>
    <t>ラジアン[rad]</t>
  </si>
  <si>
    <t>ラジアン[rad]</t>
    <phoneticPr fontId="1"/>
  </si>
  <si>
    <t>度[deg]</t>
    <rPh sb="0" eb="1">
      <t>ド</t>
    </rPh>
    <phoneticPr fontId="1"/>
  </si>
  <si>
    <t>平方メートル[㎡]</t>
    <rPh sb="0" eb="2">
      <t>ヘイホウ</t>
    </rPh>
    <phoneticPr fontId="1"/>
  </si>
  <si>
    <t>アール[a]</t>
    <phoneticPr fontId="1"/>
  </si>
  <si>
    <t>ヘクタール[ha]</t>
    <phoneticPr fontId="1"/>
  </si>
  <si>
    <t>平方インチ[in2]</t>
    <rPh sb="0" eb="2">
      <t>ヘイホウ</t>
    </rPh>
    <phoneticPr fontId="1"/>
  </si>
  <si>
    <t>坪(歩)[坪(歩)]</t>
    <rPh sb="0" eb="1">
      <t>ツボ</t>
    </rPh>
    <rPh sb="2" eb="3">
      <t>フ</t>
    </rPh>
    <phoneticPr fontId="1"/>
  </si>
  <si>
    <t xml:space="preserve"> 反(段)[反(段)]</t>
    <rPh sb="1" eb="2">
      <t>ハン</t>
    </rPh>
    <rPh sb="3" eb="4">
      <t>ダン</t>
    </rPh>
    <phoneticPr fontId="1"/>
  </si>
  <si>
    <t>エーカ[acre]</t>
    <phoneticPr fontId="1"/>
  </si>
  <si>
    <t>変換元メニュー</t>
    <rPh sb="0" eb="2">
      <t>ヘンカン</t>
    </rPh>
    <rPh sb="2" eb="3">
      <t>モト</t>
    </rPh>
    <phoneticPr fontId="1"/>
  </si>
  <si>
    <t>変換先メニュー</t>
    <rPh sb="0" eb="2">
      <t>ヘンカン</t>
    </rPh>
    <rPh sb="2" eb="3">
      <t>サキ</t>
    </rPh>
    <phoneticPr fontId="1"/>
  </si>
  <si>
    <t>０以外の値</t>
    <rPh sb="1" eb="3">
      <t>イガイ</t>
    </rPh>
    <rPh sb="4" eb="5">
      <t>アタイ</t>
    </rPh>
    <phoneticPr fontId="1"/>
  </si>
  <si>
    <t>値を入力</t>
    <rPh sb="0" eb="1">
      <t>アタイ</t>
    </rPh>
    <rPh sb="2" eb="4">
      <t>ニュウリョク</t>
    </rPh>
    <phoneticPr fontId="1"/>
  </si>
  <si>
    <t>変換結果表示</t>
    <rPh sb="0" eb="2">
      <t>ヘンカン</t>
    </rPh>
    <rPh sb="2" eb="4">
      <t>ケッカ</t>
    </rPh>
    <rPh sb="4" eb="6">
      <t>ヒョウジ</t>
    </rPh>
    <phoneticPr fontId="1"/>
  </si>
  <si>
    <t>ヘクタール[ha]</t>
  </si>
  <si>
    <t>↓</t>
    <phoneticPr fontId="1"/>
  </si>
  <si>
    <t>立方メートル[m3]</t>
    <rPh sb="0" eb="2">
      <t>リッポウ</t>
    </rPh>
    <phoneticPr fontId="1"/>
  </si>
  <si>
    <t>リットル[l]</t>
  </si>
  <si>
    <t>リットル[l]</t>
    <phoneticPr fontId="1"/>
  </si>
  <si>
    <t>シーシー[cc]</t>
    <phoneticPr fontId="1"/>
  </si>
  <si>
    <t>立方インチ[in3]</t>
    <rPh sb="0" eb="2">
      <t>リッポウ</t>
    </rPh>
    <phoneticPr fontId="1"/>
  </si>
  <si>
    <t>米ガロン[gal]</t>
    <rPh sb="0" eb="1">
      <t>ベイ</t>
    </rPh>
    <phoneticPr fontId="1"/>
  </si>
  <si>
    <t>合[合]</t>
    <rPh sb="0" eb="1">
      <t>ゴウ</t>
    </rPh>
    <rPh sb="2" eb="3">
      <t>ゴウ</t>
    </rPh>
    <phoneticPr fontId="1"/>
  </si>
  <si>
    <t>升[升]</t>
    <rPh sb="0" eb="1">
      <t>ショウ</t>
    </rPh>
    <rPh sb="2" eb="3">
      <t>ショウ</t>
    </rPh>
    <phoneticPr fontId="1"/>
  </si>
  <si>
    <t>英ガロン[gal]</t>
    <rPh sb="0" eb="1">
      <t>エイ</t>
    </rPh>
    <phoneticPr fontId="1"/>
  </si>
  <si>
    <t>秒[s]</t>
    <rPh sb="0" eb="1">
      <t>ビョウ</t>
    </rPh>
    <phoneticPr fontId="1"/>
  </si>
  <si>
    <t>日[d]</t>
    <rPh sb="0" eb="1">
      <t>ニチ</t>
    </rPh>
    <phoneticPr fontId="1"/>
  </si>
  <si>
    <t>時[h]</t>
    <rPh sb="0" eb="1">
      <t>ジ</t>
    </rPh>
    <phoneticPr fontId="1"/>
  </si>
  <si>
    <t>分[min]</t>
    <rPh sb="0" eb="1">
      <t>フン</t>
    </rPh>
    <phoneticPr fontId="1"/>
  </si>
  <si>
    <t>年[y]</t>
    <rPh sb="0" eb="1">
      <t>ネン</t>
    </rPh>
    <phoneticPr fontId="1"/>
  </si>
  <si>
    <t>メートル毎秒[m/s]</t>
    <rPh sb="4" eb="6">
      <t>マイビョウ</t>
    </rPh>
    <phoneticPr fontId="1"/>
  </si>
  <si>
    <t>ノット[kn]</t>
  </si>
  <si>
    <t>ノット[kn]</t>
    <phoneticPr fontId="1"/>
  </si>
  <si>
    <t>マイル毎時[mph]</t>
    <rPh sb="3" eb="5">
      <t>マイジ</t>
    </rPh>
    <phoneticPr fontId="1"/>
  </si>
  <si>
    <t>ガル[Gal]</t>
  </si>
  <si>
    <t>ガル[Gal]</t>
    <phoneticPr fontId="1"/>
  </si>
  <si>
    <t>ジー[G]</t>
    <phoneticPr fontId="1"/>
  </si>
  <si>
    <t>ﾒｰﾄﾙ毎秒毎秒[m/s2]</t>
    <rPh sb="4" eb="6">
      <t>マイビョウ</t>
    </rPh>
    <rPh sb="6" eb="8">
      <t>マイビョウ</t>
    </rPh>
    <phoneticPr fontId="1"/>
  </si>
  <si>
    <t>キログラム[kg]</t>
  </si>
  <si>
    <t>キログラム[kg]</t>
    <phoneticPr fontId="1"/>
  </si>
  <si>
    <t>トン[t]</t>
  </si>
  <si>
    <t>トン[t]</t>
    <phoneticPr fontId="1"/>
  </si>
  <si>
    <t>原子質量単位[u]</t>
    <rPh sb="0" eb="2">
      <t>ゲンシ</t>
    </rPh>
    <rPh sb="2" eb="4">
      <t>シツリョウ</t>
    </rPh>
    <rPh sb="4" eb="6">
      <t>タンイ</t>
    </rPh>
    <phoneticPr fontId="1"/>
  </si>
  <si>
    <t>カラット[car(ct)]</t>
    <phoneticPr fontId="1"/>
  </si>
  <si>
    <t>匁[匁]</t>
    <rPh sb="0" eb="1">
      <t>モンメ</t>
    </rPh>
    <rPh sb="2" eb="3">
      <t>モンメ</t>
    </rPh>
    <phoneticPr fontId="1"/>
  </si>
  <si>
    <t>ポンド[lb]</t>
    <phoneticPr fontId="1"/>
  </si>
  <si>
    <t>オンス[oz]</t>
    <phoneticPr fontId="1"/>
  </si>
  <si>
    <t>貫[貫]</t>
    <rPh sb="0" eb="1">
      <t>カン</t>
    </rPh>
    <rPh sb="2" eb="3">
      <t>カン</t>
    </rPh>
    <phoneticPr fontId="1"/>
  </si>
  <si>
    <t>大正 5</t>
  </si>
  <si>
    <t>辰</t>
  </si>
  <si>
    <t>大正 6</t>
  </si>
  <si>
    <t>巳</t>
  </si>
  <si>
    <t>大正 7</t>
  </si>
  <si>
    <t>午</t>
  </si>
  <si>
    <t>大正 8</t>
  </si>
  <si>
    <t>未</t>
  </si>
  <si>
    <t>大正 9</t>
  </si>
  <si>
    <t>申</t>
  </si>
  <si>
    <t>大正10</t>
  </si>
  <si>
    <t>酉</t>
  </si>
  <si>
    <t>大正11</t>
  </si>
  <si>
    <t>戌</t>
  </si>
  <si>
    <t>大正12</t>
  </si>
  <si>
    <t>亥</t>
  </si>
  <si>
    <t>大正13</t>
  </si>
  <si>
    <t>子</t>
  </si>
  <si>
    <t>大正14</t>
  </si>
  <si>
    <t>丑</t>
  </si>
  <si>
    <t>昭和 1</t>
  </si>
  <si>
    <t>寅</t>
  </si>
  <si>
    <t>昭和 2</t>
  </si>
  <si>
    <t>卯</t>
  </si>
  <si>
    <t>昭和 3</t>
  </si>
  <si>
    <t>昭和 4</t>
  </si>
  <si>
    <t>昭和 5</t>
  </si>
  <si>
    <t>昭和 6</t>
  </si>
  <si>
    <t>昭和 7</t>
  </si>
  <si>
    <t>昭和 8</t>
  </si>
  <si>
    <t>昭和 9</t>
  </si>
  <si>
    <t>昭和10</t>
  </si>
  <si>
    <t>昭和11</t>
  </si>
  <si>
    <t>昭和12</t>
  </si>
  <si>
    <t>昭和13</t>
  </si>
  <si>
    <t>昭和14</t>
  </si>
  <si>
    <t>昭和15</t>
  </si>
  <si>
    <t>昭和16</t>
  </si>
  <si>
    <t>昭和17</t>
  </si>
  <si>
    <t>昭和18</t>
  </si>
  <si>
    <t>昭和19</t>
  </si>
  <si>
    <t>昭和20</t>
  </si>
  <si>
    <t>昭和21</t>
  </si>
  <si>
    <t>昭和22</t>
  </si>
  <si>
    <t>昭和23</t>
  </si>
  <si>
    <t>昭和24</t>
  </si>
  <si>
    <t>昭和25</t>
  </si>
  <si>
    <t>昭和26</t>
  </si>
  <si>
    <t>昭和27</t>
  </si>
  <si>
    <t>昭和28</t>
  </si>
  <si>
    <t>昭和29</t>
  </si>
  <si>
    <t>昭和30</t>
  </si>
  <si>
    <t>昭和31</t>
  </si>
  <si>
    <t>昭和32</t>
  </si>
  <si>
    <t>昭和33</t>
  </si>
  <si>
    <t>昭和34</t>
  </si>
  <si>
    <t>昭和35</t>
  </si>
  <si>
    <t>昭和36</t>
  </si>
  <si>
    <t>昭和37</t>
  </si>
  <si>
    <t>昭和38</t>
  </si>
  <si>
    <t>昭和39</t>
  </si>
  <si>
    <t>昭和40</t>
  </si>
  <si>
    <t>昭和41</t>
  </si>
  <si>
    <t>昭和42</t>
  </si>
  <si>
    <t>昭和43</t>
  </si>
  <si>
    <t>昭和44</t>
  </si>
  <si>
    <t>昭和45</t>
  </si>
  <si>
    <t>昭和46</t>
  </si>
  <si>
    <t>昭和47</t>
  </si>
  <si>
    <t>昭和48</t>
  </si>
  <si>
    <t>昭和49</t>
  </si>
  <si>
    <t>昭和50</t>
  </si>
  <si>
    <t>昭和51</t>
  </si>
  <si>
    <t>昭和52</t>
  </si>
  <si>
    <t>昭和53</t>
  </si>
  <si>
    <t>昭和54</t>
  </si>
  <si>
    <t>昭和55</t>
  </si>
  <si>
    <t>昭和56</t>
  </si>
  <si>
    <t>昭和57</t>
  </si>
  <si>
    <t>昭和58</t>
  </si>
  <si>
    <t>昭和59</t>
  </si>
  <si>
    <t>昭和60</t>
  </si>
  <si>
    <t>昭和61</t>
  </si>
  <si>
    <t>昭和62</t>
  </si>
  <si>
    <t>昭和63</t>
  </si>
  <si>
    <t>平成 1</t>
  </si>
  <si>
    <t>平成 2</t>
  </si>
  <si>
    <t>平成 3</t>
  </si>
  <si>
    <t>平成 4</t>
  </si>
  <si>
    <t>平成 5</t>
  </si>
  <si>
    <t>平成 6</t>
  </si>
  <si>
    <t>平成 7</t>
  </si>
  <si>
    <t>平成 8</t>
  </si>
  <si>
    <t>平成 9</t>
  </si>
  <si>
    <t>平成10</t>
  </si>
  <si>
    <t>平成11</t>
  </si>
  <si>
    <t>平成12</t>
  </si>
  <si>
    <t>平成13</t>
  </si>
  <si>
    <t>平成14</t>
  </si>
  <si>
    <t>平成15</t>
  </si>
  <si>
    <t>平成16</t>
  </si>
  <si>
    <t>平成17</t>
  </si>
  <si>
    <t>平成18</t>
  </si>
  <si>
    <t>平成19</t>
  </si>
  <si>
    <t>平成20</t>
  </si>
  <si>
    <t>平成21</t>
  </si>
  <si>
    <t>平成22</t>
  </si>
  <si>
    <t>平成23</t>
  </si>
  <si>
    <t>平成24</t>
  </si>
  <si>
    <t>平成25</t>
  </si>
  <si>
    <t>平成26</t>
  </si>
  <si>
    <t>平成27</t>
  </si>
  <si>
    <t>平成28</t>
  </si>
  <si>
    <t>平成29</t>
  </si>
  <si>
    <t>平成30</t>
  </si>
  <si>
    <t>平成31</t>
  </si>
  <si>
    <t>西暦で確認</t>
    <rPh sb="0" eb="2">
      <t>セイレキ</t>
    </rPh>
    <rPh sb="3" eb="5">
      <t>カクニン</t>
    </rPh>
    <phoneticPr fontId="1"/>
  </si>
  <si>
    <t>和暦で確認</t>
    <rPh sb="0" eb="2">
      <t>ワレキ</t>
    </rPh>
    <rPh sb="3" eb="5">
      <t>カクニン</t>
    </rPh>
    <phoneticPr fontId="1"/>
  </si>
  <si>
    <t>満年齢で確認</t>
    <rPh sb="0" eb="1">
      <t>マン</t>
    </rPh>
    <rPh sb="1" eb="3">
      <t>ネンレイ</t>
    </rPh>
    <rPh sb="4" eb="6">
      <t>カクニン</t>
    </rPh>
    <phoneticPr fontId="1"/>
  </si>
  <si>
    <t>和暦</t>
    <rPh sb="0" eb="2">
      <t>ワレキ</t>
    </rPh>
    <phoneticPr fontId="1"/>
  </si>
  <si>
    <t>満年齢</t>
    <rPh sb="0" eb="3">
      <t>マン</t>
    </rPh>
    <phoneticPr fontId="1"/>
  </si>
  <si>
    <t>干支</t>
    <rPh sb="0" eb="2">
      <t>エト</t>
    </rPh>
    <phoneticPr fontId="1"/>
  </si>
  <si>
    <t>　　　　年号年齢早見表</t>
    <rPh sb="4" eb="6">
      <t>ネンゴウ</t>
    </rPh>
    <rPh sb="6" eb="8">
      <t>ネンレイ</t>
    </rPh>
    <rPh sb="8" eb="11">
      <t>ハヤミヒョウ</t>
    </rPh>
    <phoneticPr fontId="1"/>
  </si>
  <si>
    <t>西暦</t>
    <rPh sb="0" eb="2">
      <t>セイレキ</t>
    </rPh>
    <phoneticPr fontId="1"/>
  </si>
  <si>
    <t>ｷﾛｸﾞﾗﾑ毎ﾒｰﾄﾙ[kg/m]</t>
    <rPh sb="6" eb="7">
      <t>マイ</t>
    </rPh>
    <phoneticPr fontId="1"/>
  </si>
  <si>
    <t>テクス[tex]</t>
  </si>
  <si>
    <t>テクス[tex]</t>
    <phoneticPr fontId="1"/>
  </si>
  <si>
    <r>
      <rPr>
        <b/>
        <sz val="11"/>
        <color theme="1"/>
        <rFont val="ＭＳ Ｐゴシック"/>
        <family val="3"/>
        <charset val="128"/>
        <scheme val="minor"/>
      </rPr>
      <t>自然対数を求める</t>
    </r>
    <r>
      <rPr>
        <b/>
        <sz val="14"/>
        <color theme="1"/>
        <rFont val="ＭＳ Ｐゴシック"/>
        <family val="3"/>
        <charset val="128"/>
        <scheme val="minor"/>
      </rPr>
      <t xml:space="preserve"> log</t>
    </r>
    <r>
      <rPr>
        <b/>
        <sz val="10"/>
        <color theme="1"/>
        <rFont val="ＭＳ Ｐゴシック"/>
        <family val="3"/>
        <charset val="128"/>
        <scheme val="minor"/>
      </rPr>
      <t xml:space="preserve"> e </t>
    </r>
    <r>
      <rPr>
        <b/>
        <sz val="10"/>
        <color theme="1"/>
        <rFont val="ＭＳ Ｐゴシック"/>
        <family val="3"/>
        <charset val="128"/>
        <scheme val="minor"/>
      </rPr>
      <t xml:space="preserve"> </t>
    </r>
    <rPh sb="0" eb="4">
      <t>シゼン</t>
    </rPh>
    <rPh sb="5" eb="6">
      <t>モト</t>
    </rPh>
    <phoneticPr fontId="1"/>
  </si>
  <si>
    <t>＝</t>
    <phoneticPr fontId="1"/>
  </si>
  <si>
    <r>
      <t xml:space="preserve">倍率に対する常用対数を求める </t>
    </r>
    <r>
      <rPr>
        <b/>
        <sz val="14"/>
        <color theme="1"/>
        <rFont val="ＭＳ Ｐゴシック"/>
        <family val="3"/>
        <charset val="128"/>
        <scheme val="minor"/>
      </rPr>
      <t>log</t>
    </r>
    <r>
      <rPr>
        <b/>
        <sz val="8"/>
        <color theme="1"/>
        <rFont val="ＭＳ Ｐゴシック"/>
        <family val="3"/>
        <charset val="128"/>
        <scheme val="minor"/>
      </rPr>
      <t>10</t>
    </r>
    <r>
      <rPr>
        <b/>
        <sz val="6"/>
        <color theme="1"/>
        <rFont val="ＭＳ Ｐゴシック"/>
        <family val="3"/>
        <charset val="128"/>
        <scheme val="minor"/>
      </rPr>
      <t xml:space="preserve"> </t>
    </r>
    <r>
      <rPr>
        <b/>
        <sz val="14"/>
        <color theme="1"/>
        <rFont val="ＭＳ Ｐゴシック"/>
        <family val="3"/>
        <charset val="128"/>
        <scheme val="minor"/>
      </rPr>
      <t xml:space="preserve"> </t>
    </r>
    <rPh sb="3" eb="4">
      <t>タイ</t>
    </rPh>
    <rPh sb="6" eb="8">
      <t>ジョウヨウ</t>
    </rPh>
    <rPh sb="8" eb="10">
      <t>タイスウ</t>
    </rPh>
    <rPh sb="11" eb="12">
      <t>モト</t>
    </rPh>
    <phoneticPr fontId="1"/>
  </si>
  <si>
    <t>＝</t>
    <phoneticPr fontId="1"/>
  </si>
  <si>
    <r>
      <t>倍率</t>
    </r>
    <r>
      <rPr>
        <sz val="11"/>
        <color theme="1"/>
        <rFont val="ＭＳ Ｐゴシック"/>
        <family val="3"/>
        <charset val="128"/>
        <scheme val="minor"/>
      </rPr>
      <t xml:space="preserve"> </t>
    </r>
    <r>
      <rPr>
        <b/>
        <sz val="11"/>
        <color theme="1"/>
        <rFont val="ＭＳ Ｐゴシック"/>
        <family val="3"/>
        <charset val="128"/>
        <scheme val="minor"/>
      </rPr>
      <t>Ｘ</t>
    </r>
    <r>
      <rPr>
        <sz val="11"/>
        <color theme="1"/>
        <rFont val="ＭＳ Ｐゴシック"/>
        <family val="3"/>
        <charset val="128"/>
        <scheme val="minor"/>
      </rPr>
      <t xml:space="preserve"> を入力</t>
    </r>
    <rPh sb="0" eb="2">
      <t>バイリツ</t>
    </rPh>
    <rPh sb="6" eb="8">
      <t>ニュウリョク</t>
    </rPh>
    <phoneticPr fontId="1"/>
  </si>
  <si>
    <t>①</t>
    <phoneticPr fontId="1"/>
  </si>
  <si>
    <t>②</t>
    <phoneticPr fontId="1"/>
  </si>
  <si>
    <t>平成32</t>
    <phoneticPr fontId="1"/>
  </si>
  <si>
    <t>平成33</t>
    <phoneticPr fontId="1"/>
  </si>
  <si>
    <t>平成34</t>
    <phoneticPr fontId="1"/>
  </si>
  <si>
    <t>平成35</t>
    <phoneticPr fontId="1"/>
  </si>
  <si>
    <t>平成36</t>
    <phoneticPr fontId="1"/>
  </si>
  <si>
    <t>平成37</t>
    <phoneticPr fontId="1"/>
  </si>
  <si>
    <t>平成38</t>
    <phoneticPr fontId="1"/>
  </si>
  <si>
    <t>平成39</t>
    <phoneticPr fontId="1"/>
  </si>
  <si>
    <t>平成40</t>
    <phoneticPr fontId="1"/>
  </si>
  <si>
    <t>平成41</t>
    <phoneticPr fontId="1"/>
  </si>
  <si>
    <t>平成42</t>
    <phoneticPr fontId="1"/>
  </si>
  <si>
    <t>平成43</t>
    <phoneticPr fontId="1"/>
  </si>
  <si>
    <t>大正 6</t>
    <phoneticPr fontId="1"/>
  </si>
  <si>
    <t>ｷﾛｸﾞﾗﾑ毎ﾒｰﾄﾙ[kg m/s]</t>
    <rPh sb="6" eb="7">
      <t>マイ</t>
    </rPh>
    <phoneticPr fontId="1"/>
  </si>
  <si>
    <t>ﾎﾟﾝﾄﾞﾌｨｰﾄ毎秒[lb ft/s]</t>
    <rPh sb="9" eb="11">
      <t>マイビョウ</t>
    </rPh>
    <phoneticPr fontId="1"/>
  </si>
  <si>
    <t>ｷﾛｸﾞﾗﾑ平方ﾒｰﾄﾙ毎秒[kg m2/s]</t>
    <rPh sb="6" eb="8">
      <t>ヘイホウ</t>
    </rPh>
    <rPh sb="12" eb="14">
      <t>マイビョウ</t>
    </rPh>
    <phoneticPr fontId="1"/>
  </si>
  <si>
    <t>ﾎﾟﾝﾄﾞ平方ﾌｨｰﾄ毎秒[lb ft2/s]</t>
    <rPh sb="5" eb="7">
      <t>ヘイホウ</t>
    </rPh>
    <rPh sb="11" eb="13">
      <t>マイビョウ</t>
    </rPh>
    <phoneticPr fontId="1"/>
  </si>
  <si>
    <t>半径 r [m]  角度が θ ラジアンの時の面積を求める</t>
    <rPh sb="0" eb="2">
      <t>ハンケイ</t>
    </rPh>
    <rPh sb="10" eb="12">
      <t>カクド</t>
    </rPh>
    <rPh sb="21" eb="22">
      <t>トキ</t>
    </rPh>
    <rPh sb="23" eb="25">
      <t>メンセキ</t>
    </rPh>
    <rPh sb="26" eb="27">
      <t>モト</t>
    </rPh>
    <phoneticPr fontId="1"/>
  </si>
  <si>
    <t>sin 値</t>
    <rPh sb="4" eb="5">
      <t>アタイ</t>
    </rPh>
    <phoneticPr fontId="1"/>
  </si>
  <si>
    <t>cos 値</t>
    <rPh sb="4" eb="5">
      <t>アタイ</t>
    </rPh>
    <phoneticPr fontId="1"/>
  </si>
  <si>
    <t>半径r[m]</t>
    <phoneticPr fontId="1"/>
  </si>
  <si>
    <t>SIN A 辺を求める</t>
    <rPh sb="6" eb="7">
      <t>ヘン</t>
    </rPh>
    <rPh sb="8" eb="9">
      <t>モト</t>
    </rPh>
    <phoneticPr fontId="1"/>
  </si>
  <si>
    <t>COS B 辺を求める</t>
    <rPh sb="6" eb="7">
      <t>ヘン</t>
    </rPh>
    <rPh sb="8" eb="9">
      <t>モト</t>
    </rPh>
    <phoneticPr fontId="1"/>
  </si>
  <si>
    <t>TAN A辺を求める</t>
    <rPh sb="5" eb="6">
      <t>ヘン</t>
    </rPh>
    <rPh sb="7" eb="8">
      <t>モト</t>
    </rPh>
    <phoneticPr fontId="1"/>
  </si>
  <si>
    <t>TAN B辺を求める</t>
    <rPh sb="5" eb="6">
      <t>ヘン</t>
    </rPh>
    <rPh sb="7" eb="8">
      <t>モト</t>
    </rPh>
    <phoneticPr fontId="1"/>
  </si>
  <si>
    <t>１　黄色いセルには自分で値を入力する</t>
    <rPh sb="2" eb="4">
      <t>キイロ</t>
    </rPh>
    <rPh sb="9" eb="11">
      <t>ジブン</t>
    </rPh>
    <rPh sb="12" eb="13">
      <t>アタイ</t>
    </rPh>
    <rPh sb="14" eb="16">
      <t>ニュウリョク</t>
    </rPh>
    <phoneticPr fontId="1"/>
  </si>
  <si>
    <t>２　青いセルには自動的に結果が表示される</t>
    <rPh sb="2" eb="3">
      <t>アオ</t>
    </rPh>
    <rPh sb="8" eb="11">
      <t>ジドウテキ</t>
    </rPh>
    <rPh sb="12" eb="14">
      <t>ケッカ</t>
    </rPh>
    <rPh sb="15" eb="17">
      <t>ヒョウジ</t>
    </rPh>
    <phoneticPr fontId="1"/>
  </si>
  <si>
    <t>３　肌色のセルはプルダウンメニューである</t>
    <rPh sb="2" eb="4">
      <t>ハダイロ</t>
    </rPh>
    <phoneticPr fontId="1"/>
  </si>
  <si>
    <t>　共通事項</t>
    <rPh sb="1" eb="3">
      <t>キョウツウ</t>
    </rPh>
    <rPh sb="3" eb="5">
      <t>ジコウ</t>
    </rPh>
    <phoneticPr fontId="1"/>
  </si>
  <si>
    <t>半径 r [m]  角度が θ[度]の時の面積を求める</t>
    <rPh sb="0" eb="2">
      <t>ハンケイ</t>
    </rPh>
    <rPh sb="10" eb="12">
      <t>カクド</t>
    </rPh>
    <rPh sb="16" eb="17">
      <t>ド</t>
    </rPh>
    <rPh sb="19" eb="20">
      <t>トキ</t>
    </rPh>
    <rPh sb="21" eb="23">
      <t>メンセキ</t>
    </rPh>
    <rPh sb="24" eb="25">
      <t>モト</t>
    </rPh>
    <phoneticPr fontId="1"/>
  </si>
  <si>
    <t>独立して TAN （タンジェント）の計算を行う</t>
    <rPh sb="0" eb="2">
      <t>ドクリツ</t>
    </rPh>
    <rPh sb="18" eb="20">
      <t>ケイサン</t>
    </rPh>
    <rPh sb="21" eb="22">
      <t>オコナ</t>
    </rPh>
    <phoneticPr fontId="1"/>
  </si>
  <si>
    <t>←　ラジアン[rad]から度[度]に変換している</t>
    <rPh sb="13" eb="14">
      <t>ド</t>
    </rPh>
    <rPh sb="15" eb="16">
      <t>ド</t>
    </rPh>
    <rPh sb="18" eb="20">
      <t>ヘンカン</t>
    </rPh>
    <phoneticPr fontId="1"/>
  </si>
  <si>
    <t>←　度[度]からラジアン[rad]に変換している</t>
    <rPh sb="18" eb="20">
      <t>ヘンカン</t>
    </rPh>
    <phoneticPr fontId="1"/>
  </si>
  <si>
    <t>° = π[rad] （左のセルB40にπ[rad]を角度[度]に変換する関数が入力されている）</t>
    <rPh sb="12" eb="13">
      <t>ヒダリ</t>
    </rPh>
    <rPh sb="27" eb="29">
      <t>カクド</t>
    </rPh>
    <rPh sb="30" eb="31">
      <t>ド</t>
    </rPh>
    <rPh sb="33" eb="35">
      <t>ヘンカン</t>
    </rPh>
    <rPh sb="37" eb="39">
      <t>カンスウ</t>
    </rPh>
    <rPh sb="40" eb="42">
      <t>ニュウリョク</t>
    </rPh>
    <phoneticPr fontId="1"/>
  </si>
  <si>
    <t>　 = π （左のセルB42にπの値を求める関数が入力されている）</t>
    <rPh sb="7" eb="8">
      <t>ヒダリ</t>
    </rPh>
    <rPh sb="17" eb="18">
      <t>アタイ</t>
    </rPh>
    <rPh sb="19" eb="20">
      <t>モト</t>
    </rPh>
    <rPh sb="22" eb="24">
      <t>カンスウ</t>
    </rPh>
    <rPh sb="25" eb="27">
      <t>ニュウリョク</t>
    </rPh>
    <phoneticPr fontId="1"/>
  </si>
  <si>
    <t>弧度法（ラジアン）と度数変換</t>
    <rPh sb="0" eb="3">
      <t>コドホウ</t>
    </rPh>
    <rPh sb="10" eb="12">
      <t>ドスウ</t>
    </rPh>
    <rPh sb="12" eb="14">
      <t>ヘンカン</t>
    </rPh>
    <phoneticPr fontId="1"/>
  </si>
  <si>
    <t>θ[rad]を入力　→</t>
    <rPh sb="7" eb="9">
      <t>ニュウリョク</t>
    </rPh>
    <phoneticPr fontId="1"/>
  </si>
  <si>
    <t>度[度]に変換　→</t>
    <rPh sb="0" eb="1">
      <t>ド</t>
    </rPh>
    <rPh sb="2" eb="3">
      <t>ド</t>
    </rPh>
    <rPh sb="5" eb="7">
      <t>ヘンカン</t>
    </rPh>
    <phoneticPr fontId="1"/>
  </si>
  <si>
    <t>縦A長を求める</t>
    <rPh sb="0" eb="1">
      <t>タテ</t>
    </rPh>
    <rPh sb="2" eb="3">
      <t>チョウ</t>
    </rPh>
    <rPh sb="4" eb="5">
      <t>モト</t>
    </rPh>
    <phoneticPr fontId="1"/>
  </si>
  <si>
    <t>横B長を求める</t>
    <rPh sb="0" eb="1">
      <t>ヨコ</t>
    </rPh>
    <rPh sb="2" eb="3">
      <t>チョウ</t>
    </rPh>
    <rPh sb="4" eb="5">
      <t>モト</t>
    </rPh>
    <phoneticPr fontId="1"/>
  </si>
  <si>
    <t>dB（入力の単位  dBw, dBm, dBμ ）</t>
    <rPh sb="3" eb="5">
      <t>ニュウリョク</t>
    </rPh>
    <rPh sb="6" eb="8">
      <t>タンイ</t>
    </rPh>
    <phoneticPr fontId="1"/>
  </si>
  <si>
    <t xml:space="preserve">倍率[利得] ・（出力の単位 W, mW, μW ）  </t>
    <rPh sb="0" eb="2">
      <t>バイリツ</t>
    </rPh>
    <rPh sb="3" eb="5">
      <t>リトク</t>
    </rPh>
    <rPh sb="9" eb="11">
      <t>シュツリョク</t>
    </rPh>
    <rPh sb="12" eb="14">
      <t>タンイ</t>
    </rPh>
    <phoneticPr fontId="1"/>
  </si>
  <si>
    <t>常用対数</t>
    <rPh sb="0" eb="2">
      <t>ジョウヨウ</t>
    </rPh>
    <rPh sb="2" eb="4">
      <t>タイスウ</t>
    </rPh>
    <phoneticPr fontId="1"/>
  </si>
  <si>
    <t>※　下記の入力欄の単位が[mW]の場合、結果の単位は[dBm]となる</t>
    <rPh sb="2" eb="4">
      <t>カキ</t>
    </rPh>
    <rPh sb="5" eb="7">
      <t>ニュウリョク</t>
    </rPh>
    <rPh sb="7" eb="8">
      <t>ラン</t>
    </rPh>
    <rPh sb="9" eb="11">
      <t>タンイ</t>
    </rPh>
    <rPh sb="17" eb="19">
      <t>バアイ</t>
    </rPh>
    <rPh sb="20" eb="22">
      <t>ケッカ</t>
    </rPh>
    <rPh sb="23" eb="25">
      <t>タンイ</t>
    </rPh>
    <phoneticPr fontId="1"/>
  </si>
  <si>
    <t>※　下記の入力欄の単位が[dBm]の場合、結果の単位は[mW]となる</t>
    <rPh sb="2" eb="4">
      <t>カキ</t>
    </rPh>
    <rPh sb="5" eb="7">
      <t>ニュウリョク</t>
    </rPh>
    <rPh sb="7" eb="8">
      <t>ラン</t>
    </rPh>
    <rPh sb="9" eb="11">
      <t>タンイ</t>
    </rPh>
    <rPh sb="18" eb="20">
      <t>バアイ</t>
    </rPh>
    <rPh sb="21" eb="23">
      <t>ケッカ</t>
    </rPh>
    <rPh sb="24" eb="26">
      <t>タンイ</t>
    </rPh>
    <phoneticPr fontId="1"/>
  </si>
  <si>
    <r>
      <t xml:space="preserve">log </t>
    </r>
    <r>
      <rPr>
        <b/>
        <sz val="10"/>
        <color theme="1"/>
        <rFont val="ＭＳ Ｐゴシック"/>
        <family val="3"/>
        <charset val="128"/>
        <scheme val="minor"/>
      </rPr>
      <t>e</t>
    </r>
    <r>
      <rPr>
        <b/>
        <sz val="14"/>
        <color theme="1"/>
        <rFont val="ＭＳ Ｐゴシック"/>
        <family val="3"/>
        <charset val="128"/>
        <scheme val="minor"/>
      </rPr>
      <t xml:space="preserve"> 2.718281828</t>
    </r>
    <phoneticPr fontId="1"/>
  </si>
  <si>
    <t>　　　　　　　　　　　　　　　　　　　　単位変換プログラム</t>
    <rPh sb="20" eb="22">
      <t>タンイ</t>
    </rPh>
    <rPh sb="22" eb="24">
      <t>ヘンカン</t>
    </rPh>
    <phoneticPr fontId="1"/>
  </si>
  <si>
    <t>メニュー選択</t>
    <rPh sb="4" eb="6">
      <t>センタク</t>
    </rPh>
    <phoneticPr fontId="1"/>
  </si>
  <si>
    <t>↓</t>
    <phoneticPr fontId="1"/>
  </si>
  <si>
    <t>ｷﾛｸﾞﾗﾑ平方ﾒｰﾄﾙ[kg m2]</t>
    <rPh sb="6" eb="8">
      <t>ヘイホウ</t>
    </rPh>
    <phoneticPr fontId="1"/>
  </si>
  <si>
    <t>ﾎﾟﾝﾄﾞ平方ﾌｨｰﾄ[lb ft2]</t>
    <rPh sb="5" eb="7">
      <t>ヘイホウ</t>
    </rPh>
    <phoneticPr fontId="1"/>
  </si>
  <si>
    <t>ニュートン[N]</t>
  </si>
  <si>
    <t>ニュートン[N]</t>
    <phoneticPr fontId="1"/>
  </si>
  <si>
    <t>ダイン[dyn]</t>
  </si>
  <si>
    <t>ダイン[dyn]</t>
    <phoneticPr fontId="1"/>
  </si>
  <si>
    <t>重量ｷﾛｸﾞﾗﾑ[kgf]</t>
    <rPh sb="0" eb="2">
      <t>ジュウリョウ</t>
    </rPh>
    <phoneticPr fontId="1"/>
  </si>
  <si>
    <t>重量ポンド[lbf]</t>
    <rPh sb="0" eb="2">
      <t>ジュウリョウ</t>
    </rPh>
    <phoneticPr fontId="1"/>
  </si>
  <si>
    <t>ﾆｭｰﾄﾝ毎平方ﾒｰﾄﾙ[N/m2]</t>
    <rPh sb="5" eb="6">
      <t>マイ</t>
    </rPh>
    <rPh sb="6" eb="12">
      <t>ヘイホウ</t>
    </rPh>
    <phoneticPr fontId="1"/>
  </si>
  <si>
    <t>パスカル[Pa]</t>
    <phoneticPr fontId="1"/>
  </si>
  <si>
    <t>バール[bar]</t>
    <phoneticPr fontId="1"/>
  </si>
  <si>
    <t>重量ｷﾛｸﾞﾗﾑ毎平方ﾒｰﾄﾙ[kgf/m2]</t>
    <rPh sb="0" eb="2">
      <t>ジュウリョウ</t>
    </rPh>
    <rPh sb="8" eb="9">
      <t>マイ</t>
    </rPh>
    <rPh sb="9" eb="15">
      <t>ヘイホ</t>
    </rPh>
    <phoneticPr fontId="1"/>
  </si>
  <si>
    <t>水銀柱メートル[mmHg]</t>
    <rPh sb="0" eb="3">
      <t>スイギンチュウ</t>
    </rPh>
    <phoneticPr fontId="1"/>
  </si>
  <si>
    <t>重量ﾎﾟﾝﾄﾞ毎平方ｲﾝﾁ[lbf/in2]</t>
    <rPh sb="0" eb="2">
      <t>ジュウリョウ</t>
    </rPh>
    <rPh sb="7" eb="8">
      <t>マイ</t>
    </rPh>
    <rPh sb="8" eb="10">
      <t>ヘイホウ</t>
    </rPh>
    <phoneticPr fontId="1"/>
  </si>
  <si>
    <t>重量ｷﾛｸﾞﾗﾑﾒｰﾄﾙ[kgf m]</t>
    <rPh sb="0" eb="2">
      <t>ジュウリョウ</t>
    </rPh>
    <phoneticPr fontId="1"/>
  </si>
  <si>
    <t>ﾌｨｰﾄ重量ﾎﾟﾝﾄﾞ[ft lbf]</t>
    <rPh sb="4" eb="6">
      <t>ジュウリョウ</t>
    </rPh>
    <phoneticPr fontId="1"/>
  </si>
  <si>
    <t>ニュートンメートル[N m]</t>
  </si>
  <si>
    <t>ニュートンメートル[N m]</t>
    <phoneticPr fontId="1"/>
  </si>
  <si>
    <t>バール[bar]</t>
  </si>
  <si>
    <t>ﾆｭｰﾄﾝ秒毎平方ﾒｰﾄﾙ[N s/m2]</t>
    <rPh sb="5" eb="6">
      <t>ビョウ</t>
    </rPh>
    <rPh sb="6" eb="7">
      <t>マイ</t>
    </rPh>
    <rPh sb="7" eb="9">
      <t>ヘイホウ</t>
    </rPh>
    <phoneticPr fontId="1"/>
  </si>
  <si>
    <t>ポアズ[P]</t>
    <phoneticPr fontId="1"/>
  </si>
  <si>
    <t>パスカル秒[Pa s]</t>
    <rPh sb="4" eb="5">
      <t>ビョウ</t>
    </rPh>
    <phoneticPr fontId="1"/>
  </si>
  <si>
    <t>ポアズ[P]</t>
    <phoneticPr fontId="1"/>
  </si>
  <si>
    <t>平方ﾒｰﾄﾙ毎秒[m2/s]</t>
    <rPh sb="0" eb="2">
      <t>ヘイホウ</t>
    </rPh>
    <rPh sb="6" eb="8">
      <t>マイビョウ</t>
    </rPh>
    <phoneticPr fontId="1"/>
  </si>
  <si>
    <t>ストークス[St]</t>
    <phoneticPr fontId="1"/>
  </si>
  <si>
    <t>平方ﾒｰﾄﾙ毎時[m2/h]</t>
    <rPh sb="0" eb="2">
      <t>ヘイホウ</t>
    </rPh>
    <rPh sb="6" eb="8">
      <t>マイジ</t>
    </rPh>
    <phoneticPr fontId="1"/>
  </si>
  <si>
    <t>ﾆｭｰﾄﾝ毎ﾒｰﾄﾙ[N/m]</t>
    <rPh sb="5" eb="6">
      <t>マイ</t>
    </rPh>
    <phoneticPr fontId="1"/>
  </si>
  <si>
    <t>ﾀﾞｲﾝ毎ｾﾝﾁﾒｰﾄﾙ[dyn/cm]</t>
    <rPh sb="4" eb="5">
      <t>マイ</t>
    </rPh>
    <phoneticPr fontId="1"/>
  </si>
  <si>
    <t>重量ｸﾞﾗﾑ毎ｾﾝﾁﾒｰﾄﾙ[gf/cm]</t>
    <rPh sb="0" eb="2">
      <t>ジュウリョウ</t>
    </rPh>
    <rPh sb="6" eb="7">
      <t>マイ</t>
    </rPh>
    <phoneticPr fontId="1"/>
  </si>
  <si>
    <t>ジュール[J]</t>
  </si>
  <si>
    <t>ジュール[J]</t>
    <phoneticPr fontId="1"/>
  </si>
  <si>
    <t>ワット秒[Ws]</t>
    <rPh sb="3" eb="4">
      <t>ビョウ</t>
    </rPh>
    <phoneticPr fontId="1"/>
  </si>
  <si>
    <t>ワット時[Wh]</t>
    <rPh sb="3" eb="4">
      <t>ジ</t>
    </rPh>
    <phoneticPr fontId="1"/>
  </si>
  <si>
    <t>電子ボルト[eV]</t>
    <rPh sb="0" eb="2">
      <t>デンシ</t>
    </rPh>
    <phoneticPr fontId="1"/>
  </si>
  <si>
    <t>エルグ[erg]</t>
    <phoneticPr fontId="1"/>
  </si>
  <si>
    <t>ワット[W]</t>
  </si>
  <si>
    <t>ワット[W]</t>
    <phoneticPr fontId="1"/>
  </si>
  <si>
    <t>重量ｷﾛｸﾞﾗﾑﾒｰﾄﾙ毎秒[kgf m/sec]</t>
    <rPh sb="0" eb="2">
      <t>ジュウリョウ</t>
    </rPh>
    <rPh sb="12" eb="14">
      <t>マイビョウ</t>
    </rPh>
    <phoneticPr fontId="1"/>
  </si>
  <si>
    <t>仏馬力[PS]</t>
    <rPh sb="0" eb="1">
      <t>フツ</t>
    </rPh>
    <rPh sb="1" eb="3">
      <t>バリキ</t>
    </rPh>
    <phoneticPr fontId="1"/>
  </si>
  <si>
    <t>英馬力[HP]</t>
    <rPh sb="0" eb="1">
      <t>エイ</t>
    </rPh>
    <rPh sb="1" eb="3">
      <t>バリキ</t>
    </rPh>
    <phoneticPr fontId="1"/>
  </si>
  <si>
    <t>ポンド毎秒[lb/s]</t>
    <rPh sb="3" eb="5">
      <t>マイビョウ</t>
    </rPh>
    <phoneticPr fontId="1"/>
  </si>
  <si>
    <t>キログラム毎秒[kg/s]</t>
    <rPh sb="5" eb="7">
      <t>マイビョウ</t>
    </rPh>
    <phoneticPr fontId="1"/>
  </si>
  <si>
    <t>立方ﾌｨｰﾄ毎秒[ft3/s]</t>
    <rPh sb="0" eb="2">
      <t>リッポウ</t>
    </rPh>
    <rPh sb="6" eb="8">
      <t>マイビョウ</t>
    </rPh>
    <phoneticPr fontId="1"/>
  </si>
  <si>
    <t>立方メートル毎秒[m3/s]</t>
    <rPh sb="0" eb="6">
      <t>リッ</t>
    </rPh>
    <rPh sb="6" eb="8">
      <t>マイビョウ</t>
    </rPh>
    <phoneticPr fontId="1"/>
  </si>
  <si>
    <t>ケルビン[K]</t>
    <phoneticPr fontId="1"/>
  </si>
  <si>
    <t>華氏度/ｾﾙｼｳｽ度[°C]</t>
    <rPh sb="0" eb="2">
      <t>カシ</t>
    </rPh>
    <rPh sb="2" eb="3">
      <t>ド</t>
    </rPh>
    <rPh sb="9" eb="10">
      <t>ド</t>
    </rPh>
    <phoneticPr fontId="1"/>
  </si>
  <si>
    <t>華氏度/ﾌｧｰﾚﾝﾊｲﾄ度[F]</t>
    <rPh sb="0" eb="2">
      <t>カシ</t>
    </rPh>
    <rPh sb="2" eb="3">
      <t>ド</t>
    </rPh>
    <rPh sb="12" eb="13">
      <t>ド</t>
    </rPh>
    <phoneticPr fontId="1"/>
  </si>
  <si>
    <t>長さ</t>
    <rPh sb="0" eb="1">
      <t>ナガ</t>
    </rPh>
    <phoneticPr fontId="1"/>
  </si>
  <si>
    <t>角度</t>
    <rPh sb="0" eb="2">
      <t>カクド</t>
    </rPh>
    <phoneticPr fontId="1"/>
  </si>
  <si>
    <t>面積</t>
    <rPh sb="0" eb="2">
      <t>メンセキ</t>
    </rPh>
    <phoneticPr fontId="1"/>
  </si>
  <si>
    <t>体積</t>
    <rPh sb="0" eb="2">
      <t>タイセキ</t>
    </rPh>
    <phoneticPr fontId="1"/>
  </si>
  <si>
    <t>時間</t>
    <rPh sb="0" eb="2">
      <t>ジカン</t>
    </rPh>
    <phoneticPr fontId="1"/>
  </si>
  <si>
    <t>速さ</t>
    <rPh sb="0" eb="1">
      <t>ハヤ</t>
    </rPh>
    <phoneticPr fontId="1"/>
  </si>
  <si>
    <t>加速度</t>
    <rPh sb="0" eb="3">
      <t>カソクド</t>
    </rPh>
    <phoneticPr fontId="1"/>
  </si>
  <si>
    <t>質量</t>
    <rPh sb="0" eb="2">
      <t>シツリョウ</t>
    </rPh>
    <phoneticPr fontId="1"/>
  </si>
  <si>
    <t>綿密度・繊度</t>
    <phoneticPr fontId="1"/>
  </si>
  <si>
    <t>運動量</t>
    <rPh sb="0" eb="3">
      <t>ウンドウリョウ</t>
    </rPh>
    <phoneticPr fontId="1"/>
  </si>
  <si>
    <t>角運動量</t>
    <rPh sb="0" eb="1">
      <t>カク</t>
    </rPh>
    <rPh sb="1" eb="4">
      <t>ウンドウリョウ</t>
    </rPh>
    <phoneticPr fontId="1"/>
  </si>
  <si>
    <t>慣性モーメント</t>
    <rPh sb="0" eb="2">
      <t>カンセイ</t>
    </rPh>
    <phoneticPr fontId="1"/>
  </si>
  <si>
    <t>力・重量</t>
    <phoneticPr fontId="1"/>
  </si>
  <si>
    <t>モーメント・トルク</t>
    <phoneticPr fontId="1"/>
  </si>
  <si>
    <t>圧力・応力</t>
    <phoneticPr fontId="1"/>
  </si>
  <si>
    <t>粘度</t>
    <phoneticPr fontId="1"/>
  </si>
  <si>
    <t>動粘度</t>
    <phoneticPr fontId="1"/>
  </si>
  <si>
    <t>表面張力</t>
    <phoneticPr fontId="1"/>
  </si>
  <si>
    <t>仕事・エネルギー</t>
    <phoneticPr fontId="1"/>
  </si>
  <si>
    <t>仕事率</t>
    <phoneticPr fontId="1"/>
  </si>
  <si>
    <t>質量流量</t>
    <phoneticPr fontId="1"/>
  </si>
  <si>
    <t>体積流量</t>
    <phoneticPr fontId="1"/>
  </si>
  <si>
    <t>温度</t>
    <phoneticPr fontId="1"/>
  </si>
  <si>
    <t>マイル[mile]</t>
  </si>
  <si>
    <t>４　データセルはユーザー定義で非表示としている（見えないセルをクリックすると関数入力欄で値を確認できる）</t>
    <rPh sb="12" eb="14">
      <t>テイギ</t>
    </rPh>
    <rPh sb="15" eb="18">
      <t>ヒヒョウジ</t>
    </rPh>
    <rPh sb="24" eb="25">
      <t>ミ</t>
    </rPh>
    <rPh sb="38" eb="40">
      <t>カンスウ</t>
    </rPh>
    <rPh sb="40" eb="42">
      <t>ニュウリョク</t>
    </rPh>
    <rPh sb="42" eb="43">
      <t>ラン</t>
    </rPh>
    <rPh sb="44" eb="45">
      <t>アタイ</t>
    </rPh>
    <rPh sb="46" eb="48">
      <t>カクニン</t>
    </rPh>
    <phoneticPr fontId="1"/>
  </si>
  <si>
    <t>このシートでは結果の青いセルに関数が入っている</t>
    <rPh sb="10" eb="11">
      <t>アオ</t>
    </rPh>
    <phoneticPr fontId="1"/>
  </si>
  <si>
    <t>結果（底10の乗数）</t>
    <rPh sb="0" eb="2">
      <t>ケッカ</t>
    </rPh>
    <phoneticPr fontId="1"/>
  </si>
  <si>
    <t>結果（底 e の乗数）</t>
    <rPh sb="0" eb="2">
      <t>ケッカ</t>
    </rPh>
    <rPh sb="3" eb="4">
      <t>テイ</t>
    </rPh>
    <rPh sb="8" eb="10">
      <t>ジョウスウ</t>
    </rPh>
    <phoneticPr fontId="1"/>
  </si>
  <si>
    <t>　年号が変わった場合、それ以降の和暦の年号を書き替えればよい（西暦、満年齢、干支に影響はない）</t>
    <rPh sb="1" eb="3">
      <t>ネンゴウ</t>
    </rPh>
    <rPh sb="4" eb="5">
      <t>カ</t>
    </rPh>
    <rPh sb="8" eb="10">
      <t>バアイ</t>
    </rPh>
    <rPh sb="13" eb="15">
      <t>イコウ</t>
    </rPh>
    <rPh sb="16" eb="18">
      <t>ワレキ</t>
    </rPh>
    <rPh sb="19" eb="21">
      <t>ネンゴウ</t>
    </rPh>
    <rPh sb="22" eb="23">
      <t>カ</t>
    </rPh>
    <rPh sb="24" eb="25">
      <t>カ</t>
    </rPh>
    <rPh sb="31" eb="33">
      <t>セイレキ</t>
    </rPh>
    <rPh sb="34" eb="37">
      <t>マンネンレイ</t>
    </rPh>
    <rPh sb="38" eb="40">
      <t>エト</t>
    </rPh>
    <rPh sb="41" eb="43">
      <t>エイキョウ</t>
    </rPh>
    <phoneticPr fontId="1"/>
  </si>
  <si>
    <t>x</t>
    <phoneticPr fontId="1"/>
  </si>
  <si>
    <t>乗数 x</t>
    <rPh sb="0" eb="2">
      <t>ジョウスウ</t>
    </rPh>
    <phoneticPr fontId="1"/>
  </si>
  <si>
    <t>D</t>
    <phoneticPr fontId="1"/>
  </si>
  <si>
    <t>値 D</t>
    <rPh sb="0" eb="1">
      <t>アタイ</t>
    </rPh>
    <phoneticPr fontId="1"/>
  </si>
  <si>
    <t>結 果 表 示</t>
    <rPh sb="0" eb="1">
      <t>ムスビ</t>
    </rPh>
    <rPh sb="2" eb="3">
      <t>ハテ</t>
    </rPh>
    <rPh sb="4" eb="5">
      <t>オモテ</t>
    </rPh>
    <rPh sb="6" eb="7">
      <t>シメス</t>
    </rPh>
    <phoneticPr fontId="1"/>
  </si>
  <si>
    <t>色名</t>
    <rPh sb="0" eb="1">
      <t>イロ</t>
    </rPh>
    <rPh sb="1" eb="2">
      <t>メイ</t>
    </rPh>
    <phoneticPr fontId="1"/>
  </si>
  <si>
    <t>黒</t>
    <rPh sb="0" eb="1">
      <t>クロ</t>
    </rPh>
    <phoneticPr fontId="1"/>
  </si>
  <si>
    <t>茶色</t>
    <rPh sb="0" eb="2">
      <t>チャイロ</t>
    </rPh>
    <phoneticPr fontId="1"/>
  </si>
  <si>
    <t>赤</t>
    <rPh sb="0" eb="1">
      <t>アカ</t>
    </rPh>
    <phoneticPr fontId="1"/>
  </si>
  <si>
    <t>橙</t>
    <rPh sb="0" eb="1">
      <t>ダイダイ</t>
    </rPh>
    <phoneticPr fontId="1"/>
  </si>
  <si>
    <t>黄</t>
    <rPh sb="0" eb="1">
      <t>キ</t>
    </rPh>
    <phoneticPr fontId="1"/>
  </si>
  <si>
    <t>緑</t>
    <rPh sb="0" eb="1">
      <t>ミドリ</t>
    </rPh>
    <phoneticPr fontId="1"/>
  </si>
  <si>
    <t>青</t>
    <rPh sb="0" eb="1">
      <t>アオ</t>
    </rPh>
    <phoneticPr fontId="1"/>
  </si>
  <si>
    <t>紫</t>
    <rPh sb="0" eb="1">
      <t>ムラサキ</t>
    </rPh>
    <phoneticPr fontId="1"/>
  </si>
  <si>
    <t>灰</t>
    <rPh sb="0" eb="1">
      <t>ハイ</t>
    </rPh>
    <phoneticPr fontId="1"/>
  </si>
  <si>
    <t>白</t>
    <rPh sb="0" eb="1">
      <t>シロ</t>
    </rPh>
    <phoneticPr fontId="1"/>
  </si>
  <si>
    <t>金色</t>
    <rPh sb="0" eb="2">
      <t>キンイロ</t>
    </rPh>
    <phoneticPr fontId="1"/>
  </si>
  <si>
    <t>銀色</t>
    <rPh sb="0" eb="2">
      <t>ギンイロ</t>
    </rPh>
    <phoneticPr fontId="1"/>
  </si>
  <si>
    <t>無着色</t>
    <rPh sb="0" eb="3">
      <t>ムチャクショク</t>
    </rPh>
    <phoneticPr fontId="1"/>
  </si>
  <si>
    <t>第１数字</t>
    <rPh sb="0" eb="1">
      <t>ダイ</t>
    </rPh>
    <rPh sb="2" eb="4">
      <t>スウジ</t>
    </rPh>
    <phoneticPr fontId="1"/>
  </si>
  <si>
    <t>第２数字</t>
    <rPh sb="0" eb="1">
      <t>ダイ</t>
    </rPh>
    <rPh sb="2" eb="4">
      <t>スウジ</t>
    </rPh>
    <phoneticPr fontId="1"/>
  </si>
  <si>
    <t>第３数字</t>
    <rPh sb="0" eb="1">
      <t>ダイ</t>
    </rPh>
    <rPh sb="2" eb="4">
      <t>スウジ</t>
    </rPh>
    <phoneticPr fontId="1"/>
  </si>
  <si>
    <t>第１バンド色</t>
    <rPh sb="0" eb="1">
      <t>ダイ</t>
    </rPh>
    <rPh sb="5" eb="6">
      <t>ショク</t>
    </rPh>
    <phoneticPr fontId="1"/>
  </si>
  <si>
    <t>第２バンド色</t>
    <rPh sb="0" eb="1">
      <t>ダイ</t>
    </rPh>
    <rPh sb="5" eb="6">
      <t>ショク</t>
    </rPh>
    <phoneticPr fontId="1"/>
  </si>
  <si>
    <t>第３バンド色</t>
    <rPh sb="0" eb="1">
      <t>ダイ</t>
    </rPh>
    <rPh sb="5" eb="6">
      <t>ショク</t>
    </rPh>
    <phoneticPr fontId="1"/>
  </si>
  <si>
    <t>Ω</t>
    <phoneticPr fontId="1"/>
  </si>
  <si>
    <t>　第４バンド（精度を示すもので抵抗値とは関係ない）</t>
    <rPh sb="1" eb="2">
      <t>ダイ</t>
    </rPh>
    <rPh sb="7" eb="9">
      <t>セイド</t>
    </rPh>
    <rPh sb="10" eb="11">
      <t>シメ</t>
    </rPh>
    <rPh sb="15" eb="18">
      <t>テイコウチ</t>
    </rPh>
    <rPh sb="20" eb="22">
      <t>カンケイ</t>
    </rPh>
    <phoneticPr fontId="1"/>
  </si>
  <si>
    <t>　　　　第３バンド（乗数）</t>
    <rPh sb="4" eb="5">
      <t>ダイ</t>
    </rPh>
    <rPh sb="10" eb="12">
      <t>ジョウスウ</t>
    </rPh>
    <phoneticPr fontId="1"/>
  </si>
  <si>
    <t>　　　第２バンド（第２数字）</t>
    <rPh sb="3" eb="4">
      <t>ダイ</t>
    </rPh>
    <rPh sb="9" eb="10">
      <t>ダイ</t>
    </rPh>
    <rPh sb="11" eb="13">
      <t>スウジ</t>
    </rPh>
    <phoneticPr fontId="1"/>
  </si>
  <si>
    <t>　第１バンド（第１数字）</t>
    <rPh sb="1" eb="2">
      <t>ダイ</t>
    </rPh>
    <rPh sb="7" eb="8">
      <t>ダイ</t>
    </rPh>
    <rPh sb="9" eb="11">
      <t>スウジ</t>
    </rPh>
    <phoneticPr fontId="1"/>
  </si>
  <si>
    <t>KΩ</t>
    <phoneticPr fontId="1"/>
  </si>
  <si>
    <t>±１％</t>
    <phoneticPr fontId="1"/>
  </si>
  <si>
    <t>±２％</t>
  </si>
  <si>
    <t>±５％</t>
    <phoneticPr fontId="1"/>
  </si>
  <si>
    <t>±１０％</t>
    <phoneticPr fontId="1"/>
  </si>
  <si>
    <t>±２０％</t>
    <phoneticPr fontId="1"/>
  </si>
  <si>
    <t>　　　　　抵抗値の読み方</t>
    <rPh sb="5" eb="8">
      <t>テイコウチ</t>
    </rPh>
    <rPh sb="9" eb="10">
      <t>ヨ</t>
    </rPh>
    <rPh sb="11" eb="12">
      <t>カタ</t>
    </rPh>
    <phoneticPr fontId="1"/>
  </si>
  <si>
    <t>第４バンド（誤差）</t>
    <rPh sb="0" eb="1">
      <t>ダイ</t>
    </rPh>
    <rPh sb="6" eb="8">
      <t>ゴサ</t>
    </rPh>
    <phoneticPr fontId="1"/>
  </si>
  <si>
    <t>例として、下記の抵抗値は 4.5KΩである</t>
    <rPh sb="0" eb="1">
      <t>レイ</t>
    </rPh>
    <rPh sb="5" eb="7">
      <t>カキ</t>
    </rPh>
    <rPh sb="8" eb="11">
      <t>テイコウチ</t>
    </rPh>
    <phoneticPr fontId="1"/>
  </si>
  <si>
    <t>種類別関数一覧</t>
  </si>
  <si>
    <t>検索/行列関数</t>
  </si>
  <si>
    <t>解説</t>
  </si>
  <si>
    <t>書式</t>
  </si>
  <si>
    <t>検</t>
  </si>
  <si>
    <t>索</t>
  </si>
  <si>
    <t>/</t>
  </si>
  <si>
    <t>行</t>
  </si>
  <si>
    <t>列</t>
  </si>
  <si>
    <t>関</t>
  </si>
  <si>
    <t>数</t>
  </si>
  <si>
    <t>ADDRESS</t>
  </si>
  <si>
    <t>行番号と列番号からセル参照を表す文字列を返す。</t>
  </si>
  <si>
    <t>AREAS</t>
  </si>
  <si>
    <t>範囲に含まれる利用行きの個数を出力する。</t>
  </si>
  <si>
    <t>CHOOSE</t>
  </si>
  <si>
    <t>インデックスを使用して引数リストの値から特定の値を1つ選択して出力する。</t>
  </si>
  <si>
    <t>COLUMN</t>
  </si>
  <si>
    <t>引数として指定した範囲の列番号を出力する。</t>
  </si>
  <si>
    <t>COLUMNS</t>
  </si>
  <si>
    <t>引数として指定した範囲の列数を出力する。</t>
  </si>
  <si>
    <t>HLOOKUP</t>
  </si>
  <si>
    <t>範囲の上端行で特定の値を検索して、それに対応するセルの値を出力する。</t>
  </si>
  <si>
    <t>HYPERLINK</t>
  </si>
  <si>
    <t>他のドキュメントへのリンクを作成します。</t>
  </si>
  <si>
    <t>=HYPERLINK(リンク先, [別名])別名を省略するとセルにはリンク先のアドレスが表示されます。</t>
  </si>
  <si>
    <t>INDEX</t>
  </si>
  <si>
    <t>検索表のセル範囲から特定の値を選択して出力する。</t>
  </si>
  <si>
    <t>INDIRECT</t>
  </si>
  <si>
    <t>参照文字列によって指定されたセルに入力された文字列を介して間接的にセルを指定する。</t>
  </si>
  <si>
    <t>LOOKUP</t>
  </si>
  <si>
    <t>配列の上端行もしくは左端列の短いほうで検査値を検索し、対応する列・行の最終セルの値を出力。</t>
  </si>
  <si>
    <t>MATCH</t>
  </si>
  <si>
    <t>照合の型にしたがって検査範囲内を検索して、検査値と一致する相対的なセル位置の値を出力する。</t>
  </si>
  <si>
    <t>=MATCH(検査値, 検査範囲, [照合の型])</t>
  </si>
  <si>
    <t>OFFSET</t>
  </si>
  <si>
    <t>基準のセル範囲から指定した行数と列数だけシフトした位置にある高さと幅を持つセル範囲の参照を返す。</t>
  </si>
  <si>
    <t>=OFFSET("基準", 行数, 列数,[高さ],[幅])</t>
  </si>
  <si>
    <t>ROW</t>
  </si>
  <si>
    <t>引数として指定された範囲の行番号を出力する。</t>
  </si>
  <si>
    <t>ROWS</t>
  </si>
  <si>
    <t>引数として指定された範囲の行数を出力する。</t>
  </si>
  <si>
    <t>配列の行と列を交換し、転換行列を作成します。</t>
  </si>
  <si>
    <t>VLOOKUP</t>
  </si>
  <si>
    <t>範囲内の左端列から検索値に一致するセルを検索し対応する列番号のセルの値を出力する。</t>
  </si>
  <si>
    <t>データベース関数</t>
  </si>
  <si>
    <t>DAVERAGE</t>
  </si>
  <si>
    <t>検索範囲の列を検索して、条件を満たすレコードの平均値を返す。</t>
  </si>
  <si>
    <t>DCOUNT</t>
  </si>
  <si>
    <t>検索範囲の列を検索して、数値が入力されているセルの個数を返す。</t>
  </si>
  <si>
    <t>DCOUNTA</t>
  </si>
  <si>
    <t>検索範囲の列を検索して、空白でないセルの個数を返す。</t>
  </si>
  <si>
    <t>DGET</t>
  </si>
  <si>
    <t>検索範囲の列を検索して、条件を満たすフィールドの値を１つだけ抽出する。</t>
  </si>
  <si>
    <t>=DGET("Database", フィールド, Criteria)</t>
  </si>
  <si>
    <t>検索範囲から条件を満たすレコードの最大値を返す。</t>
  </si>
  <si>
    <t>検索範囲から条件を満たすレコードの最小値を返す。</t>
  </si>
  <si>
    <t>検索範囲から条件を満たすレコードの積を返す。</t>
  </si>
  <si>
    <t>DSTDEV</t>
  </si>
  <si>
    <t>検索範囲の列を検索して、条件を満たすレコードを標本と見なして、母集団の不偏標準偏差を返す。</t>
  </si>
  <si>
    <t>DSTDEVP</t>
  </si>
  <si>
    <t>検索範囲列を検索して、条件を満たすレコードを標本と見なして、母集団の標本標準偏差を返す。</t>
  </si>
  <si>
    <t>DSUM</t>
  </si>
  <si>
    <t>検索範囲から条件を満たすレコードの合計を返す。</t>
  </si>
  <si>
    <t>DVAR</t>
  </si>
  <si>
    <t>検索範囲から条件を満たすレコードの不偏分散を返す。</t>
  </si>
  <si>
    <t>DVARP</t>
  </si>
  <si>
    <t>検索範囲から条件を満たすレコードの標本分散を返す。</t>
  </si>
  <si>
    <t>GETPIVOTDATA</t>
  </si>
  <si>
    <t>GETPIVOTDATA 関数はピボットテーブル内の集計データの中から、指定したセルの値を抽出する。</t>
  </si>
  <si>
    <t>エンジニアリング関数</t>
  </si>
  <si>
    <t>ベッセル関数 In(x) を出力する。</t>
  </si>
  <si>
    <t>ベッセル関数 （第1種円柱関数）Jn(x) を出力する。</t>
  </si>
  <si>
    <t>変形（修正）ベッセル関数 Kn(x) を出力する。</t>
  </si>
  <si>
    <t>ベッセル関数 Yn(x) を出力する。</t>
  </si>
  <si>
    <t>BIN2DEC</t>
  </si>
  <si>
    <t>2進数を10進数に変換して出力する。</t>
  </si>
  <si>
    <t>BIN2HEX</t>
  </si>
  <si>
    <t>2進数を16進数に変換して出力する。</t>
  </si>
  <si>
    <t>BIN2OCT</t>
  </si>
  <si>
    <t>2進数を8進数に変換して出力する。</t>
  </si>
  <si>
    <t>実数係数Xおよび虚数係数Yを "x+yi"の形式の複素数に変換して出力する。</t>
  </si>
  <si>
    <t>CONVERT</t>
  </si>
  <si>
    <t>さまざまな数値の単位を変換し出力する。但し、分析ツールアドインが登録済みであることが必要。</t>
  </si>
  <si>
    <t>DEC2BIN</t>
  </si>
  <si>
    <t>10進数を2進数に変換し出力する。-512より小さい負の数や511より大きい正の数をいれることはできません。</t>
  </si>
  <si>
    <t>DEC2HEX</t>
  </si>
  <si>
    <t>10進数を16進数に変換し出力する。-549755813888より小さい負の数や549,755,813,887より大きい正の数はいれれません。</t>
  </si>
  <si>
    <t>DEC2OCT</t>
  </si>
  <si>
    <t>10進数を8進数に変換し出力する。-536,870,912より小さい負の数や536,870,911より大きい正の数を指定することはできません。</t>
  </si>
  <si>
    <t>DELTA</t>
  </si>
  <si>
    <t>2つの数値が等しいかどうか調べる。等しいとき１を返し、それ以外は０を出力する。</t>
  </si>
  <si>
    <t>下限から上限の範囲で、誤差関数の積分値を出力する。</t>
  </si>
  <si>
    <t>x ～ 無限大の範囲で、相補誤差関数の積分値を出力する。</t>
  </si>
  <si>
    <t>GESTEP</t>
  </si>
  <si>
    <t>数値が しきい値以上のとき 1 を返し、それ以外は 0 (ゼロ) を出力する。</t>
  </si>
  <si>
    <t>HEX2BIN</t>
  </si>
  <si>
    <t>16進数を２進数に変換して出力する。</t>
  </si>
  <si>
    <t>HEX2DEC</t>
  </si>
  <si>
    <t>16進数を10進数に変換して出力する。</t>
  </si>
  <si>
    <t>HEX2OCT</t>
  </si>
  <si>
    <t>16進数を８進数に変換して出力する。</t>
  </si>
  <si>
    <t>２つの複素数の絶対値を出力する。</t>
  </si>
  <si>
    <t>複素数x+yiから虚数部分yを出力する。</t>
  </si>
  <si>
    <t>複素数x+yiから偏角を出力する。</t>
  </si>
  <si>
    <t>複素数x+yiから共役複素数x+yiを作成し出力する。</t>
  </si>
  <si>
    <t>複素数のコサインを出力する。</t>
  </si>
  <si>
    <t>２つの複素数の商を出力する。</t>
  </si>
  <si>
    <t>複素数の指数関数を出力する。</t>
  </si>
  <si>
    <t>複素数の自然対数を出力する。</t>
  </si>
  <si>
    <t>複素数の常用対数を出力する。</t>
  </si>
  <si>
    <t>複素数の２を底とする対数を出力する。</t>
  </si>
  <si>
    <t>複素数のべき乗を出力する。</t>
  </si>
  <si>
    <t>複素数の積を出力する。</t>
  </si>
  <si>
    <t>=IMPRODUCT(複素数1, 複素数2,...)</t>
  </si>
  <si>
    <t>複素数の実数係数を出力する。</t>
  </si>
  <si>
    <t>複素数のサインを出力する。</t>
  </si>
  <si>
    <t>複素数の平方根を出力する。</t>
  </si>
  <si>
    <t>２つの複素数の差を出力する。</t>
  </si>
  <si>
    <t>２から29個の複素数の和を出力する。</t>
  </si>
  <si>
    <t>=IMSUM(複素数1, 複素数2, ...)</t>
  </si>
  <si>
    <t>OCT2BIN</t>
  </si>
  <si>
    <t>8進数を2進数に出力する。</t>
  </si>
  <si>
    <t>OCT2DEC</t>
  </si>
  <si>
    <t>8進数を10進数に出力する。</t>
  </si>
  <si>
    <t>OCT2HEX</t>
  </si>
  <si>
    <t>8進数を16進数に出力する。</t>
  </si>
  <si>
    <t>財務関数</t>
  </si>
  <si>
    <t>ACCRINT</t>
  </si>
  <si>
    <t>定期的に利息が支払われる証券の未収利息額を算出し出力する。</t>
  </si>
  <si>
    <t>ACCRINTM</t>
  </si>
  <si>
    <t>満期日に利息が支払われる証券の未収利息額を算出し出力する。</t>
  </si>
  <si>
    <t>AMORDEGRC</t>
  </si>
  <si>
    <t>フランスの会計システム用です。各会計期における減価償却費を算出し出力する。</t>
  </si>
  <si>
    <t>AMORLINC</t>
  </si>
  <si>
    <t>COUPDAYBS</t>
  </si>
  <si>
    <t>利札期の第1日目から受領日までの日数を出力する。</t>
  </si>
  <si>
    <t>COUPDAYS</t>
  </si>
  <si>
    <t>受領日を含む利札期の日数を出力する。</t>
  </si>
  <si>
    <t>COUPDAYSNC</t>
  </si>
  <si>
    <t>受領日から次の利息支払日までの日数を算出して出力する。</t>
  </si>
  <si>
    <t>COUPNCD</t>
  </si>
  <si>
    <t>受領日の直後の利息支払日を算出して出力する。</t>
  </si>
  <si>
    <t>COUPNUM</t>
  </si>
  <si>
    <t>受領日と満期日の間に利息が支払われる回数を算出して出力する。</t>
  </si>
  <si>
    <t>COUPPCD</t>
  </si>
  <si>
    <t>受領日の直前の最後の利息支払い日を算出して出力する。</t>
  </si>
  <si>
    <t>CUMIPMT</t>
  </si>
  <si>
    <t>指定された期間に、貸付金に対して支払われる利息の累計を算出して出力する。</t>
  </si>
  <si>
    <t>CUMPRINC</t>
  </si>
  <si>
    <t>指定された期間に、貸付金に対して支払われる元金の累計を算出して出力する。</t>
  </si>
  <si>
    <t>DB</t>
  </si>
  <si>
    <t>定率法により特定の期における資産の減価償却費を算出して出力する。</t>
  </si>
  <si>
    <t>DDB</t>
  </si>
  <si>
    <t>倍率法により特定の期における資産の減価償却費を算出して出力する。</t>
  </si>
  <si>
    <t>DISC</t>
  </si>
  <si>
    <t>証券に対する割引率を算出して出力する。</t>
  </si>
  <si>
    <t>DOLLARDE</t>
  </si>
  <si>
    <t>分数で表示されたドル価格を、小数表示に変換して出力する。</t>
  </si>
  <si>
    <t>DOLLARFR</t>
  </si>
  <si>
    <t>証券価格など小数表示されたドル価格を分数表示に変換して出力する。</t>
  </si>
  <si>
    <t>DURATION</t>
  </si>
  <si>
    <t>定期的に利子が支払われる証券の年間のマコーレー係数を出力する。</t>
  </si>
  <si>
    <t>EFFECT</t>
  </si>
  <si>
    <t>指定された名目年利率と1年当たりの複利計算回数をもとに、実効年利率を出力する。</t>
  </si>
  <si>
    <t>FV</t>
  </si>
  <si>
    <t>投資の将来価値を出力する。</t>
  </si>
  <si>
    <t>FVSCHEDULE</t>
  </si>
  <si>
    <t>投資期間内の一連の金利を複利計算するとにより初期投資の元金の将来価値を出力する。</t>
  </si>
  <si>
    <t>INTRATE</t>
  </si>
  <si>
    <t>全額投資された証券の利率を出力する。</t>
  </si>
  <si>
    <t>IPMT</t>
  </si>
  <si>
    <t>期間内の指定された期に支払われる金利を算出する。</t>
  </si>
  <si>
    <t>IRR</t>
  </si>
  <si>
    <t>一連の定期的なキャッシュフローに対する内部利益率を出力する。</t>
  </si>
  <si>
    <t>ISPMT</t>
  </si>
  <si>
    <t>期間内の指定された期に支払われる金利を出力する。</t>
  </si>
  <si>
    <t>MDURATION</t>
  </si>
  <si>
    <t>定期的に利息が支払われる証券の年間のマコーレー係数を出力する。</t>
  </si>
  <si>
    <t>MIRR</t>
  </si>
  <si>
    <t>一連の定期的なキャッシュフローにもとづいて修正内部利益率を出力する。</t>
  </si>
  <si>
    <t>NOMINAL</t>
  </si>
  <si>
    <t>名目上年利率を出力する。</t>
  </si>
  <si>
    <t>NPER</t>
  </si>
  <si>
    <t>支払い回数を出力する。</t>
  </si>
  <si>
    <t>NPV</t>
  </si>
  <si>
    <t>一連の定期的なキャッシュフローと割り引き率に基づいて投資の正味現在価格を出力する。</t>
  </si>
  <si>
    <t>=NPV(割引率, 値1, 値2, ...)</t>
  </si>
  <si>
    <t>ODDFPRICE</t>
  </si>
  <si>
    <t>1期目の日数が半端な証券に対し額面＄１００ドル当たりの価格を出力する。</t>
  </si>
  <si>
    <t>ODDFYIELD</t>
  </si>
  <si>
    <t>1期目の日数が半端な証券の利回りを計算して出力する。</t>
  </si>
  <si>
    <t>ODDLPRICE</t>
  </si>
  <si>
    <t>最終期の日数が半端な証券に対し額面＄100ドル当たりの価格を計算して出力する。</t>
  </si>
  <si>
    <t>ODDLYIELD</t>
  </si>
  <si>
    <t>最終期の日数が半端な証券の利回りを計算して出力する。</t>
  </si>
  <si>
    <t>PMT</t>
  </si>
  <si>
    <t>借入金額返済に必要な定期的支払い額を計算して出力する。</t>
  </si>
  <si>
    <t>PPMT</t>
  </si>
  <si>
    <t>期間内の指定された期に支払われる元金を計算して出力する。</t>
  </si>
  <si>
    <t>PRICE</t>
  </si>
  <si>
    <t>定期的に利息が支払われる証券に対して、額面＄100ドル当たりの価格を計算して出力する。</t>
  </si>
  <si>
    <t>PRICEDISC</t>
  </si>
  <si>
    <t>割引債の額面＄１００ドルに対する価格を計算して出力する。</t>
  </si>
  <si>
    <t>PRICEMAT</t>
  </si>
  <si>
    <t>満期日に利息が支払われる証券に対して、額面＄１００ドル当たりの価格を計算して出力する。</t>
  </si>
  <si>
    <t>PV</t>
  </si>
  <si>
    <t>投資の現在価値を計算して出力する。</t>
  </si>
  <si>
    <t>RATE</t>
  </si>
  <si>
    <t>利率を計算して出力する。</t>
  </si>
  <si>
    <t>RECEIVED</t>
  </si>
  <si>
    <t>全額投資された証券に対して、満期日に支払われる金額を計算して出力する。</t>
  </si>
  <si>
    <t>SLN</t>
  </si>
  <si>
    <t>定額法により資産の1期あたりの減価償却費を計算して出力する。</t>
  </si>
  <si>
    <t>SYD</t>
  </si>
  <si>
    <t>算術級数法により特定の期における資産の減価償却費を計算して出力する。</t>
  </si>
  <si>
    <t>TBILLEQ</t>
  </si>
  <si>
    <t>アメリカ財務省短期証券（ＴＢ）の債券に相当する利回りを計算して出力する。</t>
  </si>
  <si>
    <t>TBILLPRICE</t>
  </si>
  <si>
    <t>アメリカ財務省短期証券（ＴＢ）の額面＄100ドル当たりの価格を計算して出力する。</t>
  </si>
  <si>
    <t>TBILLYIELD</t>
  </si>
  <si>
    <t>アメリカ財務省短期証券（ＴＢ）の利回りを計算して出力する。</t>
  </si>
  <si>
    <t>VDB</t>
  </si>
  <si>
    <t>倍率法により特定の期における資産の減価償却費を計算して出力する。</t>
  </si>
  <si>
    <t>XIRR</t>
  </si>
  <si>
    <t>不定期のキャッシュフローに対する内部利益率を計算して出力する。</t>
  </si>
  <si>
    <t>XNPV</t>
  </si>
  <si>
    <t>一連の定期的なキャッシュフローと割り引き率に基づいて投資の正味現在価値を計算して出力する。</t>
  </si>
  <si>
    <t>YIELD</t>
  </si>
  <si>
    <t>利息が定期的に支払われる証券の利回りを計算して出力する。</t>
  </si>
  <si>
    <t>YIELDDISC</t>
  </si>
  <si>
    <t>割引債の額面＄１００ドルに対する年利回りを計算して出力する。</t>
  </si>
  <si>
    <t>YIELDMAT</t>
  </si>
  <si>
    <t>満期日に利息が支払われる証券の年利回りを計算して出力する。</t>
  </si>
  <si>
    <t>情報関数</t>
  </si>
  <si>
    <t>CELL</t>
  </si>
  <si>
    <t>対象範囲の左上隅にあるセルの書式、位置、内容に関するセル情報を計算して出力する。</t>
  </si>
  <si>
    <t>COUNTBLANK</t>
  </si>
  <si>
    <t>範囲に含まれる空白セルの個数を計算して出力する。</t>
  </si>
  <si>
    <t>ERROR.TYPE</t>
  </si>
  <si>
    <t>エラー値に対応する数値を計算して出力する。</t>
  </si>
  <si>
    <t>INFO</t>
  </si>
  <si>
    <t>現在の操作環境に関する情報を計算して出力する。</t>
  </si>
  <si>
    <t>ISBLANK</t>
  </si>
  <si>
    <t>対象が空白セルを参照するときTRUEを計算して出力する。</t>
  </si>
  <si>
    <t>ISERR</t>
  </si>
  <si>
    <t>対象がエラー値#N/A除くエラー値を参照するときTRUEを計算して出力する。</t>
  </si>
  <si>
    <t>ISERROR</t>
  </si>
  <si>
    <t>対象がエラー値（＃N/A,＃VALUE!,＃REF!,＃DIV/０！、＃NUM!,＃NAME?、または＃NULLの場合にTRUEを出力する。</t>
  </si>
  <si>
    <t>ISEVEN</t>
  </si>
  <si>
    <t>数値が偶数のときTRUEを計算して出力する。</t>
  </si>
  <si>
    <t>ISLOGICAL</t>
  </si>
  <si>
    <t>対象が論理値を参照するときTRUEを計算して出力する。</t>
  </si>
  <si>
    <t>ISNA</t>
  </si>
  <si>
    <t>対象が#N/Aを参照するときTRUEを計算して出力する。</t>
  </si>
  <si>
    <t>ISNONTEXT</t>
  </si>
  <si>
    <t>対象が文字列でない項目を参照するときTRUEを計算して出力する。</t>
  </si>
  <si>
    <t>ISNUMBER</t>
  </si>
  <si>
    <t>対象が数値を参照するときTRUEを計算して出力する。</t>
  </si>
  <si>
    <t>ISODD</t>
  </si>
  <si>
    <t>数値が奇数のときTRUEを計算して出力する。</t>
  </si>
  <si>
    <t>ISREF</t>
  </si>
  <si>
    <t>対象がセル範囲を参照するときTRUEを計算して出力する。</t>
  </si>
  <si>
    <t>ISTEXT</t>
  </si>
  <si>
    <t>対象が文字列を参照するときTRUEを計算して出力する。</t>
  </si>
  <si>
    <t>N</t>
  </si>
  <si>
    <t>値を数値に変換して出力する。</t>
  </si>
  <si>
    <t>NA</t>
  </si>
  <si>
    <t>常にエラー値#N/Aを出力する。</t>
  </si>
  <si>
    <t>PHONETIC</t>
  </si>
  <si>
    <t>範囲のふりがなを出力する。</t>
  </si>
  <si>
    <t>TYPE</t>
  </si>
  <si>
    <t>指定したセルのデータタイプを表す数値を計算して出力する。</t>
  </si>
  <si>
    <t>数学/三角関数</t>
  </si>
  <si>
    <t>数値の絶対値を計算して出力する。</t>
  </si>
  <si>
    <t>指定した数値のアークコサインを計算して出力する。</t>
  </si>
  <si>
    <t>指定した数値のハイパーボリックコサインの逆関数値を計算して出力する。</t>
  </si>
  <si>
    <t>指定した数値のアークサインを計算して出力する。</t>
  </si>
  <si>
    <t>指定した数値のハイパーボリックサインの逆関数値を計算して出力する。</t>
  </si>
  <si>
    <t>指定した数値のハイパーボリックタンジェントの逆関数値を計算して出力する。</t>
  </si>
  <si>
    <t>指定したＸ座標・Ｙ座標のアークタンジェントを計算して出力する。</t>
  </si>
  <si>
    <t>CEILING</t>
  </si>
  <si>
    <t>数値を指定した基準値の倍数に切り上げる。</t>
  </si>
  <si>
    <t>COMBIN</t>
  </si>
  <si>
    <t>総数から抜き取り数を選択する組合せの数を出力する。</t>
  </si>
  <si>
    <t>指定した角度のコサインを出力する。</t>
  </si>
  <si>
    <t>指定した数値のハイパーボリックコサインを出力する。</t>
  </si>
  <si>
    <t>COUNTIF</t>
  </si>
  <si>
    <t>範囲内の検索条件に一致するセルの個数を出力する。</t>
  </si>
  <si>
    <t>ラジアンを度に変換した数値を出力する。</t>
  </si>
  <si>
    <t>EVEN</t>
  </si>
  <si>
    <t>数値を偶数値に切り上げた数値に出力する。</t>
  </si>
  <si>
    <t>ｅを底とする数値のべき乗を出力する。</t>
  </si>
  <si>
    <t>数値の階乗を出力する。</t>
  </si>
  <si>
    <t>数値の2重階乗を出力する。</t>
  </si>
  <si>
    <t>FLOOR</t>
  </si>
  <si>
    <t>数値を指定した基準値の倍数に切り捨てた数値を出力する。</t>
  </si>
  <si>
    <t>引数リストの整数の最大公約数を出力する。</t>
  </si>
  <si>
    <t>=GCD(数値1, 数値2, ...)</t>
  </si>
  <si>
    <t>INT</t>
  </si>
  <si>
    <t>数値を超えない最大の整数を出力する。</t>
  </si>
  <si>
    <t>=LCM(数値1, 数値2, ...)</t>
  </si>
  <si>
    <t>数値の自然対数を出力する。</t>
  </si>
  <si>
    <t>指定した数を底とする数値の対数を出力する。</t>
  </si>
  <si>
    <t>１０を底とする数値の対数を出力する。</t>
  </si>
  <si>
    <t>配列の行列式を出力する。</t>
  </si>
  <si>
    <t>配列の逆行列式を出力する。</t>
  </si>
  <si>
    <t>２つの配列の行列積を出力する。</t>
  </si>
  <si>
    <t>割り算の余りを出力する。</t>
  </si>
  <si>
    <t>MROUND</t>
  </si>
  <si>
    <t>数値を指定した基準値の倍数に切り上げ・切り捨てした数値を出力する。</t>
  </si>
  <si>
    <t>多項係数を出力する。</t>
  </si>
  <si>
    <t>=MULTINOMIAL(数値1, 数値2, ...)</t>
  </si>
  <si>
    <t>ODD</t>
  </si>
  <si>
    <t>数値を奇数に切り上げた値で出力する。</t>
  </si>
  <si>
    <t>円周率πの近似値を出力する。</t>
  </si>
  <si>
    <t>数値のべき乗を出力する。</t>
  </si>
  <si>
    <t>引数リストの数値の積を出力する。</t>
  </si>
  <si>
    <t>=PRODUCT(数値1, 数値2, ...)</t>
  </si>
  <si>
    <t>割り算の商の整数部を出力する。</t>
  </si>
  <si>
    <t>０以上１未満の乱数を出力する。</t>
  </si>
  <si>
    <t>最小値と最大値の間の整数の乱数を出力する。</t>
  </si>
  <si>
    <t>ROMAN</t>
  </si>
  <si>
    <t>アラビア数字をローマ数字に変換した文字列を出力する。</t>
  </si>
  <si>
    <t>ROUND</t>
  </si>
  <si>
    <t>数値を四捨五入して指定した桁数に出力する。</t>
  </si>
  <si>
    <t>ROUNDDOWN</t>
  </si>
  <si>
    <t>数値を指定した桁数に切り捨てて出力する。</t>
  </si>
  <si>
    <t>ROUNDUP</t>
  </si>
  <si>
    <t>数値を指定した桁数に切り上げて出力する。</t>
  </si>
  <si>
    <t>一般べき級数を出力する。</t>
  </si>
  <si>
    <t>数値の正負を調査して出力する。</t>
  </si>
  <si>
    <t>指定した角度のサインを出力する。</t>
  </si>
  <si>
    <t>指定した数値のハイパーボリックサインを出力する。</t>
  </si>
  <si>
    <t>数値の正の平方根を出力する。</t>
  </si>
  <si>
    <t>数値×πの平方根を出力する。</t>
  </si>
  <si>
    <t>SUBTOTAL</t>
  </si>
  <si>
    <t>リストの範囲の集計を出力する。</t>
  </si>
  <si>
    <t>=SUBTOTAL(集計方法, 範囲1, 範囲2, ...)</t>
  </si>
  <si>
    <t>SUM</t>
  </si>
  <si>
    <t>リストの範囲の合計を出力する。</t>
  </si>
  <si>
    <t>=SUM(数値1, 数値2, ...)</t>
  </si>
  <si>
    <t>SUMIF</t>
  </si>
  <si>
    <t>検索条件に一致するセルの値の合計を出力する。</t>
  </si>
  <si>
    <t>リストの配列間の対応する要素の積の合計を出力する。</t>
  </si>
  <si>
    <t>=SUMPRODUCT(配列1, 配列2, 配列3, ...)</t>
  </si>
  <si>
    <t>引数リストに含まれる数値の2乗の和を出力する。</t>
  </si>
  <si>
    <t>=SUMSQ(数値1, 数値2, ...)</t>
  </si>
  <si>
    <t>２つの配列の対応する配列要素の平方差を合計して出力する。</t>
  </si>
  <si>
    <t>2つの配列の対応する配列要素の平方和を合計し出力する。</t>
  </si>
  <si>
    <t>2つの配列の対応する配列要素の差を2乗して合計し出力する。</t>
  </si>
  <si>
    <t>指定した角度のタンジェントを出力する。</t>
  </si>
  <si>
    <t>指定した数値のハイパーボリックタンジェントを出力する。</t>
  </si>
  <si>
    <t>TRUNC</t>
  </si>
  <si>
    <t>数値を指定した桁数に切り捨て出力する。</t>
  </si>
  <si>
    <t>統計関数</t>
  </si>
  <si>
    <t>AVEDEV</t>
  </si>
  <si>
    <t>データ全体の平均偏差を出力する。</t>
  </si>
  <si>
    <t>=AVEDEV(数値1, 数値2, ...)</t>
  </si>
  <si>
    <t>AVERAGE</t>
  </si>
  <si>
    <t>引数リストの平均値を出力する。</t>
  </si>
  <si>
    <t>=AVERAGE(数値1, 数値2, ...)</t>
  </si>
  <si>
    <t>AVERAGEA</t>
  </si>
  <si>
    <t>文字列や論理式を含む引数リストの平均値を出力する。</t>
  </si>
  <si>
    <t>=AVERAGEA(数値1, 数値2,...)</t>
  </si>
  <si>
    <t>BETADIST</t>
  </si>
  <si>
    <t>累積ベータ確率密度関数の値を出力する。</t>
  </si>
  <si>
    <t>BETAINV</t>
  </si>
  <si>
    <t>累積ベータ確率密度関数の逆関数値を出力する。</t>
  </si>
  <si>
    <t>BINOMDIST</t>
  </si>
  <si>
    <t>2項分布の確率を出力する。</t>
  </si>
  <si>
    <t>CHIDIST</t>
  </si>
  <si>
    <t>カイ2乗分布の片側確率を出力する。</t>
  </si>
  <si>
    <t>CHIINV</t>
  </si>
  <si>
    <t>カイ2乗分布の逆関数の値を出力する。</t>
  </si>
  <si>
    <t>=CHIINV(確率 自由度)</t>
  </si>
  <si>
    <t>CHITEST</t>
  </si>
  <si>
    <t>カイ2乗検定による適合度検定を実行する。</t>
  </si>
  <si>
    <t>CONFIDENCE</t>
  </si>
  <si>
    <t>母集団の平均値に対する信頼区間を出力する。</t>
  </si>
  <si>
    <t>２つのデータ間の相関係数を出力する。</t>
  </si>
  <si>
    <t>COUNT</t>
  </si>
  <si>
    <t>指定範囲の数値や論理値などの個数を出力する。</t>
  </si>
  <si>
    <t>=COUNT(値1, 値2, ...)</t>
  </si>
  <si>
    <t>COUNTA</t>
  </si>
  <si>
    <t>指定範囲に含まれる数値や論理値、文字列の個数を出力する。</t>
  </si>
  <si>
    <t>=COUNTA(値1, 値2, ...)</t>
  </si>
  <si>
    <t>２つのデータ間の共分散を出力する。</t>
  </si>
  <si>
    <t>CRITBINOM</t>
  </si>
  <si>
    <t>累計2項分布の値が基準値以上になるような最小値の成功回数を抽出出力する。</t>
  </si>
  <si>
    <t>DEVSQ</t>
  </si>
  <si>
    <t>データの偏差の平方和を出力する。</t>
  </si>
  <si>
    <t>=DEVSQ(数値1, 数値2, ...)</t>
  </si>
  <si>
    <t>EXPONDIST</t>
  </si>
  <si>
    <t>指数分布関数の値を出力する。</t>
  </si>
  <si>
    <t>FDIST</t>
  </si>
  <si>
    <t>F確率分布の片側確率を出力する。</t>
  </si>
  <si>
    <t>FINV</t>
  </si>
  <si>
    <t>F確率分布の逆関数を出力する。</t>
  </si>
  <si>
    <t>フィッシャー変換の値を出力する。</t>
  </si>
  <si>
    <t>フィッシャー変換の逆関数の値を出力する。</t>
  </si>
  <si>
    <t>１つの１次独立変数の回帰直線の予測値を出力する。</t>
  </si>
  <si>
    <t>データの度数分布を縦方向の配列として出力する。</t>
  </si>
  <si>
    <t>FTEST</t>
  </si>
  <si>
    <t>Ｆ検定による等分散検定の検証を出力する。</t>
  </si>
  <si>
    <t>GAMMADIST</t>
  </si>
  <si>
    <t>ガンマ分布関数の値を出力する。</t>
  </si>
  <si>
    <t>GAMMAINV</t>
  </si>
  <si>
    <t>ガンマ累積分布関数の逆関数の値を返す。つまり、確率 = GAMMADIST(x,...) であるとき、GAMMAINV(確率,...) = x となるような x の値を返す。</t>
  </si>
  <si>
    <t>ガンマ関数Ｙの値の自然対数を出力する。</t>
  </si>
  <si>
    <t>GEOMEAN</t>
  </si>
  <si>
    <t>引数の相乗平均を出力する。</t>
  </si>
  <si>
    <t>=GEOMEAN(数値1, 数値2, ...)</t>
  </si>
  <si>
    <t>複数の独立変数の回帰指数曲線の複数の予測値を出力する。</t>
  </si>
  <si>
    <t>HARMEAN</t>
  </si>
  <si>
    <t>引数リストの調和平均と出力する。</t>
  </si>
  <si>
    <t>=HARMEAN(数値1, 数値2, ...)</t>
  </si>
  <si>
    <t>HYPGEOMDIST</t>
  </si>
  <si>
    <t>超幾何分布関数の値を出力する。</t>
  </si>
  <si>
    <t>１つの１次独立変数の回帰直線の切片を出力する。</t>
  </si>
  <si>
    <t>KURT</t>
  </si>
  <si>
    <t>引数リストの尖度を出力する。</t>
  </si>
  <si>
    <t>=KURT(数値1, 数値2, ...)</t>
  </si>
  <si>
    <t>LARGE</t>
  </si>
  <si>
    <t>範囲内で何番目に大きな値を出力する。</t>
  </si>
  <si>
    <t>複数の一次独立変数の回帰直線の係数値を出力する。</t>
  </si>
  <si>
    <t>複数の独立変数の回帰指数曲線の係数値を出力する。</t>
  </si>
  <si>
    <t>LOGINV</t>
  </si>
  <si>
    <t>対数正規累積分布関数の値を出力する。</t>
  </si>
  <si>
    <t>LOGNORMDIST</t>
  </si>
  <si>
    <t>対数正規累積分布関数の逆関数の値を出力する。</t>
  </si>
  <si>
    <t>引数リストの中の最大値を出力する。</t>
  </si>
  <si>
    <t>=MAX(数値1, 数値2, ...)</t>
  </si>
  <si>
    <t>文字列や論理値を含む引数リスト内の最大値を出力する。</t>
  </si>
  <si>
    <t>=MAXA(数値1, 数値2,...)</t>
  </si>
  <si>
    <t>MEDIAN</t>
  </si>
  <si>
    <t>引数リスト内の中央値を出力する。</t>
  </si>
  <si>
    <t>=MEDIAN(数値1, 数値2, ...)</t>
  </si>
  <si>
    <t>引数リスト内の最小値を出力する。</t>
  </si>
  <si>
    <t>=MIN(数値1, 数値2, ...)</t>
  </si>
  <si>
    <t>文字列や論理値を含む引数リストから最小値を出力する。</t>
  </si>
  <si>
    <t>=MINA(数値1, 数値2,...)</t>
  </si>
  <si>
    <t>MODE</t>
  </si>
  <si>
    <t>引数リスト内の最頻値を出力する。</t>
  </si>
  <si>
    <t>=MODE(数値1, 数値2, ...)</t>
  </si>
  <si>
    <t>NEGBINOMDIST</t>
  </si>
  <si>
    <t>負の2項分布を出力する。</t>
  </si>
  <si>
    <t>NORMDIST</t>
  </si>
  <si>
    <t>正規分布関数の値を出力する。</t>
  </si>
  <si>
    <t>NORMINV</t>
  </si>
  <si>
    <t>正規分布関数の逆関数の値を出力する。</t>
  </si>
  <si>
    <t>NORMSDIST</t>
  </si>
  <si>
    <t>標準正規累積分布関数の値を出力する。</t>
  </si>
  <si>
    <t>NORMSINV</t>
  </si>
  <si>
    <t>標準正規累積分布関数の逆関数の値を出力する。</t>
  </si>
  <si>
    <t>ピアソンの積率相関係数の値を出力する。</t>
  </si>
  <si>
    <t>配列の中で％で率の順位に当たる値を出力する。</t>
  </si>
  <si>
    <t>配列の中で％を使って数値の順位を出力する。</t>
  </si>
  <si>
    <t>PERMUT</t>
  </si>
  <si>
    <t>標本数から抜き取り数を選択する順序の数を出力する。</t>
  </si>
  <si>
    <t>POISSON</t>
  </si>
  <si>
    <t>ポアソン確率分布の値を出力する。</t>
  </si>
  <si>
    <t>PROB</t>
  </si>
  <si>
    <t>配列から指定に従い4分位数を出力する。</t>
  </si>
  <si>
    <t>配列 に含まれるデータから四分位数を抽出す。四分位数は、市場調査などのデータで、母集団を複数のグループに分割するために利用されます。たとえば、QUARTILE 関数を使って、母集団の中から所得金額が全体の上位 25% を占めるグループを選び出すことができます。</t>
  </si>
  <si>
    <t>RANK</t>
  </si>
  <si>
    <t>リスト内の順位を出力する。</t>
  </si>
  <si>
    <t>ピアソンの積率相関係数の2乗値出力する。</t>
  </si>
  <si>
    <t>SKEW</t>
  </si>
  <si>
    <t>引数リストの歪度を出力する。</t>
  </si>
  <si>
    <t>=SKEW(数値1, 数値2, ...)</t>
  </si>
  <si>
    <t>1つの1次独立変数の回帰直線の傾きを出力する。</t>
  </si>
  <si>
    <t>SMALL</t>
  </si>
  <si>
    <t>範囲内で何番目に小さな値を出力する。</t>
  </si>
  <si>
    <t>STANDARDIZE</t>
  </si>
  <si>
    <t>標準変化量を出力する。</t>
  </si>
  <si>
    <t>STDEV</t>
  </si>
  <si>
    <t>引数を母集団の標本と見なして母集団に対する標準偏差を出力する。</t>
  </si>
  <si>
    <t>=STDEV(数値1, 数値2, ...)</t>
  </si>
  <si>
    <t>STDEVA</t>
  </si>
  <si>
    <t>論理値や文字列を含む引数の母集団に対する標準偏差を出力する。</t>
  </si>
  <si>
    <t>=STDEVA(数値1, 数値2,...)</t>
  </si>
  <si>
    <t>STDEVP</t>
  </si>
  <si>
    <t>引数を母集団の全体とみなして、母集団の標準差を出力する。</t>
  </si>
  <si>
    <t>=STDEVP(数値1, 数値2, ...)</t>
  </si>
  <si>
    <t>STDEVPA</t>
  </si>
  <si>
    <t>論理値や文字列を含む引数の母集団の標準偏差を出力する。</t>
  </si>
  <si>
    <t>=STDEVPA(数値1, 数値2,...)</t>
  </si>
  <si>
    <t>１つの1次独立変数の回帰直線上の予測値の標準誤差を出力する。</t>
  </si>
  <si>
    <t>TDIST</t>
  </si>
  <si>
    <t>スチューデントのｔ分布の値を出力する。</t>
  </si>
  <si>
    <t>TINV</t>
  </si>
  <si>
    <t>スチューデントのｔ分布の逆関数の値を出力する。</t>
  </si>
  <si>
    <t>複数の1次独立変数の回帰直線の複数の予測値を出力する。</t>
  </si>
  <si>
    <t>TRIMMEAN</t>
  </si>
  <si>
    <t>データの上下から一定の割合の数値を除いた中間項平均を出力する。</t>
  </si>
  <si>
    <t>TTEST</t>
  </si>
  <si>
    <t>スチューデントの t 分布に従う確率を出力する。</t>
  </si>
  <si>
    <t>VAR</t>
  </si>
  <si>
    <t>引数を母集団の標本と見なして母集団に対する分散を出力する。</t>
  </si>
  <si>
    <t>=VAR(数値1, 数値2, ...)</t>
  </si>
  <si>
    <t>VARA</t>
  </si>
  <si>
    <t>論理値や文字列を含む引数の母集団に対する分散を出力する。</t>
  </si>
  <si>
    <t>=VARA(数値1, 数値2,...)</t>
  </si>
  <si>
    <t>VARP</t>
  </si>
  <si>
    <t>引数を母集団の全体と見なして母集団の分散を出力する。</t>
  </si>
  <si>
    <t>=VARPA(数値1, 数値2,...)</t>
  </si>
  <si>
    <t>VARPA</t>
  </si>
  <si>
    <t>論理値や文字列を含む引数の母集団の分散を出力する。</t>
  </si>
  <si>
    <t>WEIBULL</t>
  </si>
  <si>
    <t>ワイブル分布関数の値を出力する。</t>
  </si>
  <si>
    <t>ZTEST</t>
  </si>
  <si>
    <t>Z検定の両側Ｐ値を出力する。</t>
  </si>
  <si>
    <t>日付/時刻関数</t>
  </si>
  <si>
    <t>DATE</t>
  </si>
  <si>
    <t>指定した日付に対応するシリアル値を出力する。</t>
  </si>
  <si>
    <t>DATEDIF</t>
  </si>
  <si>
    <t>２つの指定日の間の年・月・日を出力する。</t>
  </si>
  <si>
    <t>DATEVALUE</t>
  </si>
  <si>
    <t>日付の文字列をシリアル値に変換して出力する。</t>
  </si>
  <si>
    <t>DAY</t>
  </si>
  <si>
    <t>シリアル値を日に変換して出力する。</t>
  </si>
  <si>
    <t>DAYS360</t>
  </si>
  <si>
    <t>1年を360日として２つの日付の間の日数を出力する。</t>
  </si>
  <si>
    <t>EDATE</t>
  </si>
  <si>
    <t>開始日から起算して指定月数だけ前後の日付のシリアル値を出力する。</t>
  </si>
  <si>
    <t>EOMONTH</t>
  </si>
  <si>
    <t>開始日から起算して指定月数だけ前後の月の最終日のシリアル値を出力する。</t>
  </si>
  <si>
    <t>HOUR</t>
  </si>
  <si>
    <t>シリアル値を時に変換出力する。</t>
  </si>
  <si>
    <t>MINUTE</t>
  </si>
  <si>
    <t>シリアル値に対応する分に変換出力する。</t>
  </si>
  <si>
    <t>MONTH</t>
  </si>
  <si>
    <t>シリアル値に対応する月に変換出力する。</t>
  </si>
  <si>
    <t>NETWORKDAYS</t>
  </si>
  <si>
    <t>２つの指定日の間の稼動日数を計算出力する。</t>
  </si>
  <si>
    <t>NOW</t>
  </si>
  <si>
    <t>現在の日付と時刻に対応するシリアル値を出力する。</t>
  </si>
  <si>
    <t>SECOND</t>
  </si>
  <si>
    <t>シリアル値を秒に変換出力する。</t>
  </si>
  <si>
    <t>TIME</t>
  </si>
  <si>
    <t>指定された時刻に対応するシリアル値を出力する。</t>
  </si>
  <si>
    <t>TIMEVALUE</t>
  </si>
  <si>
    <t>時刻を表す文字列をシリアル値に変換出力する。</t>
  </si>
  <si>
    <t>TODAY</t>
  </si>
  <si>
    <t>現在の日付に対応するシリアル値を出力する。</t>
  </si>
  <si>
    <t>WEEKDAY</t>
  </si>
  <si>
    <t>シリアル値を曜日に変換出力する。</t>
  </si>
  <si>
    <t>WEEKNUM</t>
  </si>
  <si>
    <t>シリアル値に対応する日が年の何週目にあたるかを出力する。</t>
  </si>
  <si>
    <t>WORKDAY</t>
  </si>
  <si>
    <t>開始日から起算して、指定日数だけ前後の日付のシリアル値を出力する。</t>
  </si>
  <si>
    <t>YEAR</t>
  </si>
  <si>
    <t>シリアル値に対応する年に変換出力する。</t>
  </si>
  <si>
    <t>YEARFRAC</t>
  </si>
  <si>
    <t>２つの指定日の間の期間を年単位で出力する。</t>
  </si>
  <si>
    <t>文字列操作関数</t>
  </si>
  <si>
    <t>ASC</t>
  </si>
  <si>
    <t>全角の英数カナ文字を半角カナ文字に変換出力する。</t>
  </si>
  <si>
    <t>CHAR</t>
  </si>
  <si>
    <t>数値をASCII/JISコード番号と対応する文字に変換出力する。</t>
  </si>
  <si>
    <t>CLEAN</t>
  </si>
  <si>
    <t>印刷できない文字を文字列から削除して出力する。</t>
  </si>
  <si>
    <t>CODE</t>
  </si>
  <si>
    <t>文字列の先頭文字をASCII/JISコード番号に変換出力する。</t>
  </si>
  <si>
    <t>CONCATENATE</t>
  </si>
  <si>
    <t>複数の文字を結合して1つにして出力する。</t>
  </si>
  <si>
    <t>=CONCATENATE (文字列1, 文字列2, ...)</t>
  </si>
  <si>
    <t>DOLLAR</t>
  </si>
  <si>
    <t>数値を四捨五入してドル書式を設定した文字列に変換出力する。</t>
  </si>
  <si>
    <t>EXACT</t>
  </si>
  <si>
    <t>２つの文字列を比較し,等しいかどうか調べる。</t>
  </si>
  <si>
    <t>FIND/FINDB</t>
  </si>
  <si>
    <t>対象文字列を検索し、検索文字列が最初に現れる位置の文字番号を出力する。</t>
  </si>
  <si>
    <t>FIXED</t>
  </si>
  <si>
    <t>数値を四捨五入してピリオドとカンマで書式設定した文字列に変換して出力する。</t>
  </si>
  <si>
    <t>JIS</t>
  </si>
  <si>
    <t>半角の整数カナ文字を全角文字に変換出力する。</t>
  </si>
  <si>
    <t>LEFT/LEFTB</t>
  </si>
  <si>
    <t>文字列の左端から指定数の文字を出力する。</t>
  </si>
  <si>
    <t>=LEFT(文字列, 文字数) LEFTB(文字列, バイト数)</t>
  </si>
  <si>
    <t>LEN/LENB</t>
  </si>
  <si>
    <t>文字列の文字数を出力する。</t>
  </si>
  <si>
    <t>=LEN(文字列) LENB(文字列)</t>
  </si>
  <si>
    <t>LOWER</t>
  </si>
  <si>
    <t>文字列の中の英字をすべて小文字に変換出力する。</t>
  </si>
  <si>
    <t>MID/MIDB</t>
  </si>
  <si>
    <t>文字列の指定位置から指定数の文字を出力する。</t>
  </si>
  <si>
    <t>=MID(文字列, 開始位置, 文字数) MIDB(文字列, 開始位置, バイト数)</t>
  </si>
  <si>
    <t>PROPER</t>
  </si>
  <si>
    <t>文字列の英単語の先頭文字を大文字にして2文字目以降は小文字に変換して出力する。</t>
  </si>
  <si>
    <t>REPLACE/REPLACEB</t>
  </si>
  <si>
    <t>文字列の指定位置から指定された数の文字列に置換する。</t>
  </si>
  <si>
    <t>=REPLACE(文字列, 開始位置, 文字数, 置換文字列) REPLACEB(文字列, 開始位置, バイト数, 置換文字列)</t>
  </si>
  <si>
    <t>REPT</t>
  </si>
  <si>
    <t>指定された回数だけ文字列を繰り返す。</t>
  </si>
  <si>
    <t>RIGHT/RIGHTB</t>
  </si>
  <si>
    <t>文字列の右端から指定した数の文字を出力する。</t>
  </si>
  <si>
    <t>=RIGHT(文字列, 文字数) RIGHTB(文字列, バイト数)</t>
  </si>
  <si>
    <t>SEARCH/SEARCHB</t>
  </si>
  <si>
    <t>検索文字を検索して、検索文字が最初に現れる位置の文字番号を出力する。</t>
  </si>
  <si>
    <t>=SEARCH(検索文字列, 対象, 開始位置) SEARCHB(検索文字列, 対象, 開始位置)</t>
  </si>
  <si>
    <t>SUBSTITUTE</t>
  </si>
  <si>
    <t>文字列の指定された文字を別の文字に置換して出力する。</t>
  </si>
  <si>
    <t>T</t>
  </si>
  <si>
    <t>セル番地を文字列に変換して出力する。</t>
  </si>
  <si>
    <t>TEXT</t>
  </si>
  <si>
    <t>数値を書式設定した文字列で出力する。</t>
  </si>
  <si>
    <t>TRIM</t>
  </si>
  <si>
    <t>文字列の不要なスペースを全て削除して出力する。</t>
  </si>
  <si>
    <t>UPPER</t>
  </si>
  <si>
    <t>文字列の英字をすべて大文字に変換して出力する。</t>
  </si>
  <si>
    <t>VALUE</t>
  </si>
  <si>
    <t>文字列を数値に変換出力する。</t>
  </si>
  <si>
    <t>YEN</t>
  </si>
  <si>
    <t>数値を四捨五入して通貨書式を設定した文字列に変換出力する。</t>
  </si>
  <si>
    <t>論理関数</t>
  </si>
  <si>
    <t>AND</t>
  </si>
  <si>
    <t>全ての引数がＴＲＵＥの時TRUEを出力する。</t>
  </si>
  <si>
    <t>=AND(論理式1, 論理式2, ...)</t>
  </si>
  <si>
    <t>FALSE</t>
  </si>
  <si>
    <t>必ず論理値FALSEを出力する。</t>
  </si>
  <si>
    <t>IF</t>
  </si>
  <si>
    <t>論理式がTRUEの時に真の場合を返し、FALSEの時偽の場合を出力する。</t>
  </si>
  <si>
    <t>NOT</t>
  </si>
  <si>
    <t>引数がTRUEのとき、FALSEを返し、FALSEの時、TRUEを出力する。</t>
  </si>
  <si>
    <t>OR</t>
  </si>
  <si>
    <t>いずれかの引数がTRUEの時、TRUEを出力する。</t>
  </si>
  <si>
    <t>=OR(論理式1, 論理式2, ...)</t>
  </si>
  <si>
    <t>TRUE</t>
  </si>
  <si>
    <t>論理値TRUEを出力する。</t>
  </si>
  <si>
    <t>16ビット変換のため10進数の上限は「65535」である。</t>
    <rPh sb="5" eb="7">
      <t>ヘンカン</t>
    </rPh>
    <rPh sb="12" eb="14">
      <t>シンスウ</t>
    </rPh>
    <rPh sb="15" eb="17">
      <t>ジョウゲン</t>
    </rPh>
    <phoneticPr fontId="1"/>
  </si>
  <si>
    <t>手計算の方法（最後から順番に並べると、2進数に変換することができる）</t>
    <rPh sb="0" eb="1">
      <t>テ</t>
    </rPh>
    <rPh sb="1" eb="3">
      <t>ケイサン</t>
    </rPh>
    <rPh sb="4" eb="6">
      <t>ホウホウ</t>
    </rPh>
    <phoneticPr fontId="1"/>
  </si>
  <si>
    <t>10進数から16進数への変換</t>
  </si>
  <si>
    <t>例として「827685」を16進数に変換してみましょう。</t>
  </si>
  <si>
    <t>10進数から2進数への変換と同様に、10進数を「16」で割り、その商が15以下になるまで割って行きます。その余りを最後から順番に並べると、16進数に変換することができます。</t>
    <phoneticPr fontId="1"/>
  </si>
  <si>
    <t>2進数や8進数、16進数をまとめてn進数と呼ぶことにする。n進数から10進数への変換方法は、整数部と小数部同じ方法でできる。n進数の各けたの数値とけたの重みをかけたものの合計を求めればよい。</t>
  </si>
  <si>
    <r>
      <t>けたの重み付けの方法は、小数点を起点にして整数部は、左方向にn</t>
    </r>
    <r>
      <rPr>
        <vertAlign val="superscript"/>
        <sz val="11"/>
        <color theme="1"/>
        <rFont val="ＭＳ Ｐゴシック"/>
        <family val="3"/>
        <charset val="128"/>
        <scheme val="minor"/>
      </rPr>
      <t xml:space="preserve">0 </t>
    </r>
    <r>
      <rPr>
        <sz val="11"/>
        <color theme="1"/>
        <rFont val="ＭＳ Ｐゴシック"/>
        <family val="2"/>
        <charset val="128"/>
        <scheme val="minor"/>
      </rPr>
      <t>、n</t>
    </r>
    <r>
      <rPr>
        <vertAlign val="superscript"/>
        <sz val="11"/>
        <color theme="1"/>
        <rFont val="ＭＳ Ｐゴシック"/>
        <family val="3"/>
        <charset val="128"/>
        <scheme val="minor"/>
      </rPr>
      <t>1</t>
    </r>
    <r>
      <rPr>
        <sz val="11"/>
        <color theme="1"/>
        <rFont val="ＭＳ Ｐゴシック"/>
        <family val="2"/>
        <charset val="128"/>
        <scheme val="minor"/>
      </rPr>
      <t>、n</t>
    </r>
    <r>
      <rPr>
        <vertAlign val="superscript"/>
        <sz val="11"/>
        <color theme="1"/>
        <rFont val="ＭＳ Ｐゴシック"/>
        <family val="3"/>
        <charset val="128"/>
        <scheme val="minor"/>
      </rPr>
      <t>2</t>
    </r>
    <r>
      <rPr>
        <sz val="11"/>
        <color theme="1"/>
        <rFont val="ＭＳ Ｐゴシック"/>
        <family val="2"/>
        <charset val="128"/>
        <scheme val="minor"/>
      </rPr>
      <t>とし、小数部は右方向にn</t>
    </r>
    <r>
      <rPr>
        <vertAlign val="superscript"/>
        <sz val="11"/>
        <color theme="1"/>
        <rFont val="ＭＳ Ｐゴシック"/>
        <family val="3"/>
        <charset val="128"/>
        <scheme val="minor"/>
      </rPr>
      <t>-1</t>
    </r>
    <r>
      <rPr>
        <sz val="11"/>
        <color theme="1"/>
        <rFont val="ＭＳ Ｐゴシック"/>
        <family val="2"/>
        <charset val="128"/>
        <scheme val="minor"/>
      </rPr>
      <t>、 n</t>
    </r>
    <r>
      <rPr>
        <vertAlign val="superscript"/>
        <sz val="11"/>
        <color theme="1"/>
        <rFont val="ＭＳ Ｐゴシック"/>
        <family val="3"/>
        <charset val="128"/>
        <scheme val="minor"/>
      </rPr>
      <t>-2</t>
    </r>
    <r>
      <rPr>
        <sz val="11"/>
        <color theme="1"/>
        <rFont val="ＭＳ Ｐゴシック"/>
        <family val="2"/>
        <charset val="128"/>
        <scheme val="minor"/>
      </rPr>
      <t>、n</t>
    </r>
    <r>
      <rPr>
        <vertAlign val="superscript"/>
        <sz val="11"/>
        <color theme="1"/>
        <rFont val="ＭＳ Ｐゴシック"/>
        <family val="3"/>
        <charset val="128"/>
        <scheme val="minor"/>
      </rPr>
      <t>-3</t>
    </r>
    <r>
      <rPr>
        <sz val="11"/>
        <color theme="1"/>
        <rFont val="ＭＳ Ｐゴシック"/>
        <family val="2"/>
        <charset val="128"/>
        <scheme val="minor"/>
      </rPr>
      <t>と各けたに重み付けをおこなえばよい。</t>
    </r>
  </si>
  <si>
    <t>*nは、2進数では、2、8進数では8、16進数では16である。</t>
  </si>
  <si>
    <t>例題1 2進数の111100.101を10進数に変換する</t>
  </si>
  <si>
    <t>2進数のそれぞれのけたの重み付けをおこない、各けたの重みをかけたものの 合計を求めればよい。</t>
  </si>
  <si>
    <t>各けたの数値が0の部分は0であるから、各けたの1の部分の合計を求める。</t>
  </si>
  <si>
    <r>
      <t>2</t>
    </r>
    <r>
      <rPr>
        <vertAlign val="superscript"/>
        <sz val="11"/>
        <color theme="1"/>
        <rFont val="ＭＳ Ｐゴシック"/>
        <family val="3"/>
        <charset val="128"/>
        <scheme val="minor"/>
      </rPr>
      <t>5</t>
    </r>
    <r>
      <rPr>
        <sz val="11"/>
        <color theme="1"/>
        <rFont val="ＭＳ Ｐゴシック"/>
        <family val="2"/>
        <charset val="128"/>
        <scheme val="minor"/>
      </rPr>
      <t>+2</t>
    </r>
    <r>
      <rPr>
        <vertAlign val="superscript"/>
        <sz val="11"/>
        <color theme="1"/>
        <rFont val="ＭＳ Ｐゴシック"/>
        <family val="3"/>
        <charset val="128"/>
        <scheme val="minor"/>
      </rPr>
      <t>4</t>
    </r>
    <r>
      <rPr>
        <sz val="11"/>
        <color theme="1"/>
        <rFont val="ＭＳ Ｐゴシック"/>
        <family val="2"/>
        <charset val="128"/>
        <scheme val="minor"/>
      </rPr>
      <t>+2</t>
    </r>
    <r>
      <rPr>
        <vertAlign val="superscript"/>
        <sz val="11"/>
        <color theme="1"/>
        <rFont val="ＭＳ Ｐゴシック"/>
        <family val="3"/>
        <charset val="128"/>
        <scheme val="minor"/>
      </rPr>
      <t>3</t>
    </r>
    <r>
      <rPr>
        <sz val="11"/>
        <color theme="1"/>
        <rFont val="ＭＳ Ｐゴシック"/>
        <family val="2"/>
        <charset val="128"/>
        <scheme val="minor"/>
      </rPr>
      <t>+2</t>
    </r>
    <r>
      <rPr>
        <vertAlign val="superscript"/>
        <sz val="11"/>
        <color theme="1"/>
        <rFont val="ＭＳ Ｐゴシック"/>
        <family val="3"/>
        <charset val="128"/>
        <scheme val="minor"/>
      </rPr>
      <t>2</t>
    </r>
    <r>
      <rPr>
        <sz val="11"/>
        <color theme="1"/>
        <rFont val="ＭＳ Ｐゴシック"/>
        <family val="2"/>
        <charset val="128"/>
        <scheme val="minor"/>
      </rPr>
      <t>+2</t>
    </r>
    <r>
      <rPr>
        <vertAlign val="superscript"/>
        <sz val="11"/>
        <color theme="1"/>
        <rFont val="ＭＳ Ｐゴシック"/>
        <family val="3"/>
        <charset val="128"/>
        <scheme val="minor"/>
      </rPr>
      <t>-1</t>
    </r>
    <r>
      <rPr>
        <sz val="11"/>
        <color theme="1"/>
        <rFont val="ＭＳ Ｐゴシック"/>
        <family val="2"/>
        <charset val="128"/>
        <scheme val="minor"/>
      </rPr>
      <t xml:space="preserve"> +2</t>
    </r>
    <r>
      <rPr>
        <vertAlign val="superscript"/>
        <sz val="11"/>
        <color theme="1"/>
        <rFont val="ＭＳ Ｐゴシック"/>
        <family val="3"/>
        <charset val="128"/>
        <scheme val="minor"/>
      </rPr>
      <t>-2</t>
    </r>
    <r>
      <rPr>
        <sz val="11"/>
        <color theme="1"/>
        <rFont val="ＭＳ Ｐゴシック"/>
        <family val="2"/>
        <charset val="128"/>
        <scheme val="minor"/>
      </rPr>
      <t>+2</t>
    </r>
    <r>
      <rPr>
        <vertAlign val="superscript"/>
        <sz val="11"/>
        <color theme="1"/>
        <rFont val="ＭＳ Ｐゴシック"/>
        <family val="3"/>
        <charset val="128"/>
        <scheme val="minor"/>
      </rPr>
      <t>-3</t>
    </r>
  </si>
  <si>
    <t>2進数の111100.101は、10進数の60.625である。</t>
  </si>
  <si>
    <t>関数</t>
  </si>
  <si>
    <t>説明</t>
  </si>
  <si>
    <t>ベッセル関数 Jn(x) を返します。</t>
  </si>
  <si>
    <t>修正ベッセル関数 Kn(x) を返します。</t>
  </si>
  <si>
    <t>ベッセル関数 Yn(x) を返します。</t>
  </si>
  <si>
    <t>2 進数を 10 進数に変換します。</t>
  </si>
  <si>
    <t>2 進数を 16 進数に変換します。</t>
  </si>
  <si>
    <t>2 進数を 8 進数に変換します。</t>
  </si>
  <si>
    <t>実数係数および虚数係数を "x+yi" または "x+yj" の形式の複素数に変換します。</t>
  </si>
  <si>
    <t>数値の単位を変換します。</t>
  </si>
  <si>
    <t>10 進数を 2 進数に変換します。</t>
  </si>
  <si>
    <t>10 進数を 16 進数に変換します。</t>
  </si>
  <si>
    <t>10 進数を 8 進数に変換します。</t>
  </si>
  <si>
    <t>2 つの値が等しいかどうかを調べます。</t>
  </si>
  <si>
    <t>誤差関数の積分値を返します。</t>
  </si>
  <si>
    <t>相補誤差関数の積分値を返します。</t>
  </si>
  <si>
    <t>数値がしきい値以上であるかどうかを調べます。</t>
  </si>
  <si>
    <t>16 進数を 2 進数に変換します。</t>
  </si>
  <si>
    <t>16 進数を 10 進数に変換します。</t>
  </si>
  <si>
    <t>16 進数を 8 進数に変換します。</t>
  </si>
  <si>
    <t>指定した複素数の絶対値を返します。</t>
  </si>
  <si>
    <t>指定した複素数の虚数係数を返します。</t>
  </si>
  <si>
    <t>引数シータ (ラジアンで表した角度) を返します。</t>
  </si>
  <si>
    <t>複素数の複素共役を返します。</t>
  </si>
  <si>
    <t>複素数のコサインを返します。</t>
  </si>
  <si>
    <t>2 つの複素数の商を返します。</t>
  </si>
  <si>
    <t>複素数のべき乗を返します。</t>
  </si>
  <si>
    <t>複素数の自然対数を返します。</t>
  </si>
  <si>
    <t>複素数の 10 を底とする対数 (常用対数) を返します。</t>
  </si>
  <si>
    <t>複素数の 2 を底とする対数を返します。</t>
  </si>
  <si>
    <t>複素数の整数乗を返します。</t>
  </si>
  <si>
    <t>複素数の積を返します。</t>
  </si>
  <si>
    <t>複素数の実数係数を返します。</t>
  </si>
  <si>
    <t>複素数のサインを返します。</t>
  </si>
  <si>
    <t>複素数の平方根を返します。</t>
  </si>
  <si>
    <t>2 つの複素数の差を返します。</t>
  </si>
  <si>
    <t>複素数の和を返します。</t>
  </si>
  <si>
    <t>8 進数を 2 進数に変換します。</t>
  </si>
  <si>
    <t>8 進数を 10 進数に変換します。</t>
  </si>
  <si>
    <t>8 進数を 16 進数に変換します。</t>
  </si>
  <si>
    <t>元々８ビット対応関数であるため、２進数→１０進数への変換は８ビット対応のまま</t>
    <rPh sb="0" eb="2">
      <t>モトモト</t>
    </rPh>
    <rPh sb="6" eb="8">
      <t>タイオウ</t>
    </rPh>
    <rPh sb="8" eb="10">
      <t>カンスウ</t>
    </rPh>
    <rPh sb="17" eb="19">
      <t>シンスウ</t>
    </rPh>
    <rPh sb="22" eb="24">
      <t>シンスウ</t>
    </rPh>
    <rPh sb="26" eb="28">
      <t>ヘンカン</t>
    </rPh>
    <rPh sb="33" eb="35">
      <t>タイオウ</t>
    </rPh>
    <phoneticPr fontId="1"/>
  </si>
  <si>
    <t>であり、最大入力は「111111111」である。（１０進数で「511」）。</t>
    <rPh sb="4" eb="6">
      <t>サイダイ</t>
    </rPh>
    <rPh sb="6" eb="8">
      <t>ニュウリョク</t>
    </rPh>
    <rPh sb="27" eb="29">
      <t>シンスウ</t>
    </rPh>
    <phoneticPr fontId="1"/>
  </si>
  <si>
    <t>浜三沢限定</t>
    <rPh sb="0" eb="3">
      <t>ハマ</t>
    </rPh>
    <rPh sb="3" eb="5">
      <t>ゲンテイ</t>
    </rPh>
    <phoneticPr fontId="1"/>
  </si>
  <si>
    <t>緯度方向距離（m）</t>
    <rPh sb="0" eb="2">
      <t>イド</t>
    </rPh>
    <rPh sb="2" eb="4">
      <t>ホウコウ</t>
    </rPh>
    <rPh sb="4" eb="6">
      <t>キョリ</t>
    </rPh>
    <phoneticPr fontId="1"/>
  </si>
  <si>
    <t>座標（秒）</t>
    <rPh sb="0" eb="2">
      <t>ザヒョウ</t>
    </rPh>
    <rPh sb="3" eb="4">
      <t>ビョウ</t>
    </rPh>
    <phoneticPr fontId="1"/>
  </si>
  <si>
    <t>経度方向距離（m）</t>
    <rPh sb="0" eb="2">
      <t>ケイド</t>
    </rPh>
    <rPh sb="2" eb="4">
      <t>ホウコウ</t>
    </rPh>
    <rPh sb="4" eb="6">
      <t>キョリ</t>
    </rPh>
    <phoneticPr fontId="1"/>
  </si>
  <si>
    <t>１秒</t>
    <rPh sb="1" eb="2">
      <t>ビョウ</t>
    </rPh>
    <phoneticPr fontId="1"/>
  </si>
  <si>
    <t>緯度方向の距離（m）</t>
    <rPh sb="0" eb="2">
      <t>イド</t>
    </rPh>
    <rPh sb="2" eb="4">
      <t>ホウコウ</t>
    </rPh>
    <rPh sb="5" eb="7">
      <t>キョリ</t>
    </rPh>
    <phoneticPr fontId="1"/>
  </si>
  <si>
    <t>経度方向の距離（m）</t>
    <rPh sb="0" eb="2">
      <t>ケイド</t>
    </rPh>
    <rPh sb="2" eb="4">
      <t>ホウコウ</t>
    </rPh>
    <rPh sb="5" eb="7">
      <t>キョリ</t>
    </rPh>
    <phoneticPr fontId="1"/>
  </si>
  <si>
    <t>分・秒の度数換算</t>
    <rPh sb="0" eb="1">
      <t>フン</t>
    </rPh>
    <rPh sb="2" eb="3">
      <t>ビョウ</t>
    </rPh>
    <rPh sb="4" eb="6">
      <t>ドスウ</t>
    </rPh>
    <rPh sb="6" eb="8">
      <t>カンザン</t>
    </rPh>
    <phoneticPr fontId="1"/>
  </si>
  <si>
    <t>経度（度）</t>
    <rPh sb="0" eb="2">
      <t>ケイド</t>
    </rPh>
    <rPh sb="3" eb="4">
      <t>ド</t>
    </rPh>
    <phoneticPr fontId="1"/>
  </si>
  <si>
    <t>分</t>
    <rPh sb="0" eb="1">
      <t>フン</t>
    </rPh>
    <phoneticPr fontId="1"/>
  </si>
  <si>
    <t>秒</t>
    <rPh sb="0" eb="1">
      <t>ビョウ</t>
    </rPh>
    <phoneticPr fontId="1"/>
  </si>
  <si>
    <t>換算値（度）</t>
    <rPh sb="0" eb="2">
      <t>カンザン</t>
    </rPh>
    <rPh sb="2" eb="3">
      <t>チ</t>
    </rPh>
    <rPh sb="4" eb="5">
      <t>ド</t>
    </rPh>
    <phoneticPr fontId="1"/>
  </si>
  <si>
    <t>緯度（度）</t>
    <rPh sb="0" eb="2">
      <t>イド</t>
    </rPh>
    <rPh sb="3" eb="4">
      <t>ド</t>
    </rPh>
    <phoneticPr fontId="1"/>
  </si>
  <si>
    <t>緯度・経度１秒の長さ</t>
    <rPh sb="0" eb="2">
      <t>イド</t>
    </rPh>
    <rPh sb="3" eb="5">
      <t>ケイド</t>
    </rPh>
    <rPh sb="6" eb="7">
      <t>ビョウ</t>
    </rPh>
    <rPh sb="8" eb="9">
      <t>ナガ</t>
    </rPh>
    <phoneticPr fontId="1"/>
  </si>
  <si>
    <t>緯度</t>
  </si>
  <si>
    <t>0 度（赤道）</t>
  </si>
  <si>
    <t>15度</t>
  </si>
  <si>
    <t>24度</t>
  </si>
  <si>
    <t>25度</t>
  </si>
  <si>
    <t>26度</t>
  </si>
  <si>
    <t>27度</t>
  </si>
  <si>
    <t>28度</t>
  </si>
  <si>
    <t>29度</t>
  </si>
  <si>
    <t>30度</t>
  </si>
  <si>
    <t>31度</t>
  </si>
  <si>
    <t>32度</t>
  </si>
  <si>
    <t>33度</t>
  </si>
  <si>
    <t>34度</t>
  </si>
  <si>
    <t>35度</t>
  </si>
  <si>
    <t>35度39分29秒1572（日本経緯度原点）</t>
  </si>
  <si>
    <t>36度</t>
  </si>
  <si>
    <t>37度</t>
  </si>
  <si>
    <t>38度</t>
  </si>
  <si>
    <t>39度</t>
  </si>
  <si>
    <t>40度</t>
  </si>
  <si>
    <t>41度</t>
  </si>
  <si>
    <t>42度</t>
  </si>
  <si>
    <t>43度</t>
  </si>
  <si>
    <t>44度</t>
  </si>
  <si>
    <t>45度</t>
  </si>
  <si>
    <t>46度</t>
  </si>
  <si>
    <t>60度</t>
  </si>
  <si>
    <t>47度</t>
  </si>
  <si>
    <t>75度</t>
  </si>
  <si>
    <t>48度</t>
  </si>
  <si>
    <t>90度（極点）</t>
  </si>
  <si>
    <t>49度</t>
  </si>
  <si>
    <t>50度</t>
  </si>
  <si>
    <t>Heavens-Aboveを利用した衛星軌道及びデータの取得</t>
    <rPh sb="14" eb="16">
      <t>リヨウ</t>
    </rPh>
    <rPh sb="18" eb="20">
      <t>エイセイ</t>
    </rPh>
    <rPh sb="20" eb="22">
      <t>キドウ</t>
    </rPh>
    <rPh sb="22" eb="23">
      <t>オヨ</t>
    </rPh>
    <rPh sb="28" eb="30">
      <t>シュトク</t>
    </rPh>
    <phoneticPr fontId="1"/>
  </si>
  <si>
    <t>１　下記サイトをクリック</t>
    <rPh sb="2" eb="4">
      <t>カキ</t>
    </rPh>
    <phoneticPr fontId="1"/>
  </si>
  <si>
    <t>２　「設定」の項目の「観測地点の変更」をクリックする</t>
    <rPh sb="3" eb="5">
      <t>セッテイ</t>
    </rPh>
    <rPh sb="7" eb="8">
      <t>コウ</t>
    </rPh>
    <rPh sb="8" eb="9">
      <t>モク</t>
    </rPh>
    <rPh sb="11" eb="13">
      <t>カンソク</t>
    </rPh>
    <rPh sb="13" eb="15">
      <t>チテン</t>
    </rPh>
    <rPh sb="16" eb="18">
      <t>ヘンコウ</t>
    </rPh>
    <phoneticPr fontId="1"/>
  </si>
  <si>
    <t>３　必要項目を入力する（下記の値は三沢での観測地点データ）・地名で検索すると科学館の建物の緯度経度が表示される</t>
    <rPh sb="2" eb="4">
      <t>ヒツヨウ</t>
    </rPh>
    <rPh sb="4" eb="6">
      <t>コウモク</t>
    </rPh>
    <rPh sb="7" eb="9">
      <t>ニュウリョク</t>
    </rPh>
    <rPh sb="12" eb="14">
      <t>カキ</t>
    </rPh>
    <rPh sb="15" eb="16">
      <t>アタイ</t>
    </rPh>
    <rPh sb="17" eb="19">
      <t>ミサワ</t>
    </rPh>
    <rPh sb="21" eb="23">
      <t>カンソク</t>
    </rPh>
    <rPh sb="23" eb="25">
      <t>チテン</t>
    </rPh>
    <rPh sb="30" eb="32">
      <t>チメイ</t>
    </rPh>
    <rPh sb="33" eb="35">
      <t>ケンサク</t>
    </rPh>
    <rPh sb="38" eb="41">
      <t>カガクカン</t>
    </rPh>
    <rPh sb="42" eb="44">
      <t>タテモノ</t>
    </rPh>
    <rPh sb="45" eb="47">
      <t>イド</t>
    </rPh>
    <rPh sb="47" eb="49">
      <t>ケイド</t>
    </rPh>
    <rPh sb="50" eb="52">
      <t>ヒョウジ</t>
    </rPh>
    <phoneticPr fontId="1"/>
  </si>
  <si>
    <t>緯度</t>
    <rPh sb="0" eb="2">
      <t>イド</t>
    </rPh>
    <phoneticPr fontId="1"/>
  </si>
  <si>
    <t>度</t>
    <rPh sb="0" eb="1">
      <t>ド</t>
    </rPh>
    <phoneticPr fontId="1"/>
  </si>
  <si>
    <t>計算（１１項目で得られたデータ表参照）</t>
    <rPh sb="0" eb="2">
      <t>ケイサン</t>
    </rPh>
    <rPh sb="5" eb="7">
      <t>コウモク</t>
    </rPh>
    <rPh sb="8" eb="9">
      <t>エ</t>
    </rPh>
    <rPh sb="15" eb="16">
      <t>ヒョウ</t>
    </rPh>
    <rPh sb="16" eb="18">
      <t>サンショウ</t>
    </rPh>
    <phoneticPr fontId="1"/>
  </si>
  <si>
    <t>経度</t>
    <rPh sb="0" eb="2">
      <t>ケイド</t>
    </rPh>
    <phoneticPr fontId="1"/>
  </si>
  <si>
    <t>最高通過点（高度）</t>
    <rPh sb="0" eb="2">
      <t>サイコウ</t>
    </rPh>
    <rPh sb="2" eb="5">
      <t>ツウカテン</t>
    </rPh>
    <rPh sb="6" eb="8">
      <t>コウド</t>
    </rPh>
    <phoneticPr fontId="1"/>
  </si>
  <si>
    <t>CR仰角</t>
    <rPh sb="2" eb="4">
      <t>ギョウカク</t>
    </rPh>
    <phoneticPr fontId="1"/>
  </si>
  <si>
    <t>下記欄に入力</t>
    <rPh sb="0" eb="2">
      <t>カキ</t>
    </rPh>
    <rPh sb="2" eb="3">
      <t>ラン</t>
    </rPh>
    <rPh sb="4" eb="6">
      <t>ニュウリョク</t>
    </rPh>
    <phoneticPr fontId="1"/>
  </si>
  <si>
    <t>標高</t>
    <rPh sb="0" eb="2">
      <t>ヒョウコウ</t>
    </rPh>
    <phoneticPr fontId="1"/>
  </si>
  <si>
    <t>m</t>
    <phoneticPr fontId="1"/>
  </si>
  <si>
    <t>名前</t>
    <rPh sb="0" eb="2">
      <t>ナマエ</t>
    </rPh>
    <phoneticPr fontId="1"/>
  </si>
  <si>
    <t>県立三沢航空科学館</t>
    <rPh sb="0" eb="2">
      <t>ケンリツ</t>
    </rPh>
    <rPh sb="2" eb="4">
      <t>ミサワ</t>
    </rPh>
    <rPh sb="4" eb="6">
      <t>コウクウ</t>
    </rPh>
    <rPh sb="6" eb="9">
      <t>カガクカン</t>
    </rPh>
    <phoneticPr fontId="1"/>
  </si>
  <si>
    <t>タイムゾーン</t>
    <phoneticPr fontId="1"/>
  </si>
  <si>
    <t>(GMT+9:00)Japan</t>
    <phoneticPr fontId="1"/>
  </si>
  <si>
    <t>４　「衛星」の項目で「衛星データベース」をクリックする</t>
    <rPh sb="3" eb="5">
      <t>エイセイ</t>
    </rPh>
    <rPh sb="7" eb="9">
      <t>コウモク</t>
    </rPh>
    <rPh sb="11" eb="13">
      <t>エイセイ</t>
    </rPh>
    <phoneticPr fontId="1"/>
  </si>
  <si>
    <t>http://www.heavens-above.com/Satellites.aspx?lat=40.7005&amp;lng=141.3988&amp;loc=%e7%9c%8c%e7%ab%8b%e4%b8%89%e6%b2%a2%e8%88%aa%e7%a9%ba%e7%a7%91%e5%ad%a6%e9%a4%a8&amp;alt=28&amp;tz=JapST</t>
    <phoneticPr fontId="1"/>
  </si>
  <si>
    <t>５　データベースから</t>
    <phoneticPr fontId="1"/>
  </si>
  <si>
    <t>→　名前</t>
    <rPh sb="2" eb="4">
      <t>ナマエ</t>
    </rPh>
    <phoneticPr fontId="1"/>
  </si>
  <si>
    <t>ALOS 2</t>
    <phoneticPr fontId="1"/>
  </si>
  <si>
    <t>→「更新」をクリック （Sと2の間は半角スペース）</t>
    <rPh sb="2" eb="4">
      <t>コウシン</t>
    </rPh>
    <rPh sb="16" eb="17">
      <t>アイダ</t>
    </rPh>
    <rPh sb="18" eb="20">
      <t>ハンカク</t>
    </rPh>
    <phoneticPr fontId="1"/>
  </si>
  <si>
    <t>６　名前の欄に（陸域観測技術衛星２号「だいち２号」（ALOS-2））と表示されるのでクリックする</t>
    <rPh sb="2" eb="4">
      <t>ナマエ</t>
    </rPh>
    <rPh sb="5" eb="6">
      <t>ラン</t>
    </rPh>
    <rPh sb="8" eb="10">
      <t>リクイキ</t>
    </rPh>
    <rPh sb="10" eb="16">
      <t>カンソク</t>
    </rPh>
    <rPh sb="17" eb="18">
      <t>ゴウ</t>
    </rPh>
    <rPh sb="23" eb="24">
      <t>ゴウ</t>
    </rPh>
    <rPh sb="35" eb="37">
      <t>ヒョウジ</t>
    </rPh>
    <phoneticPr fontId="1"/>
  </si>
  <si>
    <t>http://www.heavens-above.com/SatInfo.aspx?satid=39766&amp;lat=40.7005&amp;lng=141.3988&amp;loc=%e7%9c%8c%e7%ab%8b%e4%b8%89%e6%b2%a2%e8%88%aa%e7%a9%ba%e7%a7%91%e5%ad%a6%e9%a4%a8&amp;alt=28&amp;tz=JapST</t>
    <phoneticPr fontId="1"/>
  </si>
  <si>
    <t>７　画面右上の「通過」をクリック</t>
    <rPh sb="2" eb="4">
      <t>ガメン</t>
    </rPh>
    <rPh sb="4" eb="6">
      <t>ミギウエ</t>
    </rPh>
    <rPh sb="8" eb="10">
      <t>ツウカ</t>
    </rPh>
    <phoneticPr fontId="1"/>
  </si>
  <si>
    <t>http://www.heavens-above.com/PassSummary.aspx?satid=39766&amp;lat=40.7005&amp;lng=141.3988&amp;loc=%e7%9c%8c%e7%ab%8b%e4%b8%89%e6%b2%a2%e8%88%aa%e7%a9%ba%e7%a7%91%e5%ad%a6%e9%a4%a8&amp;alt=28&amp;tz=JapST</t>
    <phoneticPr fontId="1"/>
  </si>
  <si>
    <t>８　「検索期間の始め」と「検索期間の終り」を [ &lt; ] [ &gt; ]で選択する</t>
    <rPh sb="3" eb="5">
      <t>ケンサク</t>
    </rPh>
    <rPh sb="5" eb="7">
      <t>キカン</t>
    </rPh>
    <rPh sb="8" eb="9">
      <t>ハジ</t>
    </rPh>
    <rPh sb="13" eb="15">
      <t>ケンサク</t>
    </rPh>
    <rPh sb="15" eb="17">
      <t>キカン</t>
    </rPh>
    <rPh sb="18" eb="19">
      <t>オ</t>
    </rPh>
    <rPh sb="35" eb="37">
      <t>センタク</t>
    </rPh>
    <phoneticPr fontId="1"/>
  </si>
  <si>
    <t>９　含まれる通過で「全て」にチェックを入れる</t>
    <rPh sb="2" eb="3">
      <t>フク</t>
    </rPh>
    <rPh sb="6" eb="8">
      <t>ツウカ</t>
    </rPh>
    <rPh sb="10" eb="11">
      <t>スベ</t>
    </rPh>
    <rPh sb="19" eb="20">
      <t>イ</t>
    </rPh>
    <phoneticPr fontId="1"/>
  </si>
  <si>
    <t>１０　一覧表が出るので「観測日時」のセル上（一行のどこでもよい）をクリックする</t>
    <rPh sb="3" eb="6">
      <t>イチランヒョウ</t>
    </rPh>
    <rPh sb="7" eb="8">
      <t>デ</t>
    </rPh>
    <rPh sb="12" eb="14">
      <t>カンソク</t>
    </rPh>
    <rPh sb="14" eb="16">
      <t>ニチジ</t>
    </rPh>
    <rPh sb="20" eb="21">
      <t>ジョウ</t>
    </rPh>
    <rPh sb="22" eb="24">
      <t>イチギョウ</t>
    </rPh>
    <phoneticPr fontId="1"/>
  </si>
  <si>
    <t>１１　通過経路の詳細が「図」と「一覧表」で現れる</t>
    <rPh sb="3" eb="5">
      <t>ツウカ</t>
    </rPh>
    <rPh sb="5" eb="7">
      <t>ケイロ</t>
    </rPh>
    <rPh sb="8" eb="10">
      <t>ショウサイ</t>
    </rPh>
    <rPh sb="12" eb="13">
      <t>ズ</t>
    </rPh>
    <rPh sb="16" eb="19">
      <t>イチランヒョウ</t>
    </rPh>
    <rPh sb="21" eb="22">
      <t>アラワ</t>
    </rPh>
    <phoneticPr fontId="1"/>
  </si>
  <si>
    <t>http://www.heavens-above.com/</t>
    <phoneticPr fontId="1"/>
  </si>
  <si>
    <t>http://www.heavens-above.com/SelectLocation.aspx?lat=40.7005&amp;lng=141.3988&amp;loc=%e7%9c%8c%e7%ab%8b%e4%b8%89%e6%b2%a2%e8%88%aa%e7%a9%ba%e7%a7%91%e5%ad%a6%e9%a4%a8&amp;alt=28&amp;tz=JapST</t>
    <phoneticPr fontId="1"/>
  </si>
  <si>
    <t>経度１秒の長さ（m）</t>
    <rPh sb="0" eb="2">
      <t>ケイド</t>
    </rPh>
    <rPh sb="3" eb="4">
      <t>ビョウ</t>
    </rPh>
    <rPh sb="5" eb="6">
      <t>ナガ</t>
    </rPh>
    <phoneticPr fontId="1"/>
  </si>
  <si>
    <t>緯度１秒の長さ（m）</t>
    <rPh sb="0" eb="2">
      <t>イド</t>
    </rPh>
    <rPh sb="3" eb="4">
      <t>ビョウ</t>
    </rPh>
    <rPh sb="5" eb="6">
      <t>ナガ</t>
    </rPh>
    <phoneticPr fontId="1"/>
  </si>
  <si>
    <t>25.153 129</t>
    <phoneticPr fontId="1"/>
  </si>
  <si>
    <t>経度１秒の長さ</t>
    <phoneticPr fontId="1"/>
  </si>
  <si>
    <t>緯度１秒の長さ</t>
    <phoneticPr fontId="1"/>
  </si>
  <si>
    <t>30.820 188</t>
    <phoneticPr fontId="1"/>
  </si>
  <si>
    <t>全国の緯度</t>
    <rPh sb="0" eb="2">
      <t>ゼンコク</t>
    </rPh>
    <rPh sb="3" eb="5">
      <t>イド</t>
    </rPh>
    <phoneticPr fontId="1"/>
  </si>
  <si>
    <t>40.5度（浜三沢）</t>
    <rPh sb="4" eb="5">
      <t>ド</t>
    </rPh>
    <rPh sb="6" eb="9">
      <t>ハマ</t>
    </rPh>
    <phoneticPr fontId="1"/>
  </si>
  <si>
    <t>選　択</t>
    <rPh sb="0" eb="1">
      <t>セン</t>
    </rPh>
    <rPh sb="2" eb="3">
      <t>タク</t>
    </rPh>
    <phoneticPr fontId="1"/>
  </si>
  <si>
    <t>結　果</t>
    <rPh sb="0" eb="1">
      <t>ムスビ</t>
    </rPh>
    <rPh sb="2" eb="3">
      <t>ハテ</t>
    </rPh>
    <phoneticPr fontId="1"/>
  </si>
  <si>
    <t>メニューや数値データは見えにくい範囲に置いてある（P70～T105）</t>
    <rPh sb="5" eb="7">
      <t>スウチ</t>
    </rPh>
    <rPh sb="11" eb="12">
      <t>ミ</t>
    </rPh>
    <rPh sb="16" eb="18">
      <t>ハンイ</t>
    </rPh>
    <rPh sb="19" eb="20">
      <t>オ</t>
    </rPh>
    <phoneticPr fontId="1"/>
  </si>
  <si>
    <r>
      <rPr>
        <b/>
        <sz val="14"/>
        <color rgb="FFFF0000"/>
        <rFont val="ＭＳ Ｐゴシック"/>
        <family val="3"/>
        <charset val="128"/>
        <scheme val="minor"/>
      </rPr>
      <t>浜三沢限定</t>
    </r>
    <r>
      <rPr>
        <b/>
        <sz val="14"/>
        <color theme="1"/>
        <rFont val="ＭＳ Ｐゴシック"/>
        <family val="3"/>
        <charset val="128"/>
        <scheme val="minor"/>
      </rPr>
      <t xml:space="preserve">    緯度・経度の距離換算表 （北緯40.5°での値）</t>
    </r>
    <rPh sb="9" eb="11">
      <t>イド</t>
    </rPh>
    <rPh sb="12" eb="14">
      <t>ケイド</t>
    </rPh>
    <rPh sb="15" eb="17">
      <t>キョリ</t>
    </rPh>
    <rPh sb="17" eb="19">
      <t>カンザン</t>
    </rPh>
    <rPh sb="19" eb="20">
      <t>ヒョウ</t>
    </rPh>
    <rPh sb="22" eb="24">
      <t>ホクイ</t>
    </rPh>
    <rPh sb="31" eb="32">
      <t>アタイ</t>
    </rPh>
    <phoneticPr fontId="1"/>
  </si>
  <si>
    <t>緯度の違いによる全国の緯度・経度の距離換算表</t>
    <rPh sb="0" eb="2">
      <t>イド</t>
    </rPh>
    <rPh sb="3" eb="4">
      <t>チガ</t>
    </rPh>
    <rPh sb="8" eb="10">
      <t>ゼンコク</t>
    </rPh>
    <rPh sb="11" eb="13">
      <t>イド</t>
    </rPh>
    <rPh sb="14" eb="16">
      <t>ケイド</t>
    </rPh>
    <rPh sb="17" eb="19">
      <t>キョリ</t>
    </rPh>
    <rPh sb="19" eb="21">
      <t>カンザン</t>
    </rPh>
    <rPh sb="21" eb="22">
      <t>ヒョウ</t>
    </rPh>
    <phoneticPr fontId="1"/>
  </si>
  <si>
    <t>MΩ</t>
    <phoneticPr fontId="1"/>
  </si>
  <si>
    <t>√</t>
    <phoneticPr fontId="1"/>
  </si>
  <si>
    <t>科学・化学・工学で使用する特殊な計算をするときに使用する関数です。</t>
    <phoneticPr fontId="1"/>
  </si>
  <si>
    <t>1. LEFT</t>
  </si>
  <si>
    <t>2. RIHGT</t>
  </si>
  <si>
    <t>3. MID</t>
  </si>
  <si>
    <t>4. REPLACE</t>
  </si>
  <si>
    <t>5. FIND</t>
  </si>
  <si>
    <t>6. TRIM</t>
  </si>
  <si>
    <t>7. REPT</t>
  </si>
  <si>
    <t>8. ･･･</t>
  </si>
  <si>
    <t>日付・時刻関数</t>
  </si>
  <si>
    <t>1. DATE</t>
  </si>
  <si>
    <t>2. TIME</t>
  </si>
  <si>
    <t>3. YEAR</t>
  </si>
  <si>
    <t>4. MONTH</t>
  </si>
  <si>
    <t>5. DAY</t>
  </si>
  <si>
    <t>6. WEEKDAY</t>
  </si>
  <si>
    <t>7. ･･･</t>
  </si>
  <si>
    <t>1. AVERAGE</t>
  </si>
  <si>
    <t>2. COUNT</t>
  </si>
  <si>
    <t>3. COUNTIF</t>
  </si>
  <si>
    <t>4. MAX</t>
  </si>
  <si>
    <t>5. MIN</t>
  </si>
  <si>
    <t>6. RANK</t>
  </si>
  <si>
    <t>検索・行列関数</t>
  </si>
  <si>
    <t>1. VLOOKUP</t>
  </si>
  <si>
    <t>2. MATCH</t>
  </si>
  <si>
    <t>3. OFFSET</t>
  </si>
  <si>
    <t>4. INDEX</t>
  </si>
  <si>
    <t>5. INDIRECT</t>
  </si>
  <si>
    <t>6. ROW</t>
  </si>
  <si>
    <t>1. SUM</t>
  </si>
  <si>
    <t>2. SUMIF</t>
  </si>
  <si>
    <t>3. ABS</t>
  </si>
  <si>
    <t>4. MOD</t>
  </si>
  <si>
    <t>5. ROUND</t>
  </si>
  <si>
    <t>6. SUBTOTAL</t>
  </si>
  <si>
    <t>7. TRUNC</t>
  </si>
  <si>
    <t>1. AND</t>
  </si>
  <si>
    <t>2. OR</t>
  </si>
  <si>
    <t>3. IF</t>
  </si>
  <si>
    <t>4. TRUE</t>
  </si>
  <si>
    <t>5. FALSE</t>
  </si>
  <si>
    <t>6. NOT</t>
  </si>
  <si>
    <t>1. DB</t>
  </si>
  <si>
    <t>2. SLN</t>
  </si>
  <si>
    <t>3. SYD</t>
  </si>
  <si>
    <t>4. VDB</t>
  </si>
  <si>
    <t>5. PV</t>
  </si>
  <si>
    <t>6. FV</t>
  </si>
  <si>
    <t>7. IPMT</t>
  </si>
  <si>
    <t>8. IRR</t>
  </si>
  <si>
    <t>9. NPV</t>
  </si>
  <si>
    <t>10. ･･･</t>
  </si>
  <si>
    <t>1. ISERROR</t>
  </si>
  <si>
    <t>2. CELL</t>
  </si>
  <si>
    <t>3. ISTEXT</t>
  </si>
  <si>
    <t>4. ISNUMBER</t>
  </si>
  <si>
    <t>5. ISBLANK</t>
  </si>
  <si>
    <t>6. ･･･</t>
  </si>
  <si>
    <t>1. BIN2DEC</t>
  </si>
  <si>
    <t>2. BIN2HEX</t>
  </si>
  <si>
    <t>3. BIN2OCT</t>
  </si>
  <si>
    <t>4. CONVERT</t>
  </si>
  <si>
    <t>5. ･･･</t>
  </si>
  <si>
    <t>キューブ関数</t>
  </si>
  <si>
    <t>1. CUBEKPIMEMBER</t>
  </si>
  <si>
    <t>2. CUBESET</t>
  </si>
  <si>
    <t>3. CUBEVALUE</t>
  </si>
  <si>
    <t>4. ･･･</t>
  </si>
  <si>
    <r>
      <t>Excel</t>
    </r>
    <r>
      <rPr>
        <sz val="11"/>
        <color theme="1"/>
        <rFont val="ＭＳ Ｐゴシック"/>
        <family val="3"/>
        <charset val="128"/>
      </rPr>
      <t>関数一覧</t>
    </r>
    <phoneticPr fontId="1"/>
  </si>
  <si>
    <t>3√</t>
    <phoneticPr fontId="1"/>
  </si>
  <si>
    <t>4√</t>
    <phoneticPr fontId="1"/>
  </si>
  <si>
    <t>値 D の平方根</t>
    <rPh sb="0" eb="1">
      <t>アタイ</t>
    </rPh>
    <rPh sb="5" eb="8">
      <t>ヘイホウコン</t>
    </rPh>
    <phoneticPr fontId="1"/>
  </si>
  <si>
    <t>値 D の３乗根</t>
    <rPh sb="6" eb="7">
      <t>ジョウ</t>
    </rPh>
    <rPh sb="7" eb="8">
      <t>コン</t>
    </rPh>
    <phoneticPr fontId="1"/>
  </si>
  <si>
    <t>値 D の４乗根</t>
    <rPh sb="6" eb="7">
      <t>ジョウ</t>
    </rPh>
    <rPh sb="7" eb="8">
      <t>コン</t>
    </rPh>
    <phoneticPr fontId="1"/>
  </si>
  <si>
    <t>相対利得</t>
    <rPh sb="0" eb="2">
      <t>ソウタイ</t>
    </rPh>
    <rPh sb="2" eb="4">
      <t>リトク</t>
    </rPh>
    <phoneticPr fontId="1"/>
  </si>
  <si>
    <t>絶対利得</t>
    <rPh sb="0" eb="2">
      <t>ゼッタイ</t>
    </rPh>
    <rPh sb="2" eb="4">
      <t>リトク</t>
    </rPh>
    <phoneticPr fontId="1"/>
  </si>
  <si>
    <t>オームの法則</t>
    <phoneticPr fontId="1"/>
  </si>
  <si>
    <t>電流 I [A]</t>
    <rPh sb="0" eb="2">
      <t>デンリュウ</t>
    </rPh>
    <phoneticPr fontId="1"/>
  </si>
  <si>
    <t>電圧 E [V]</t>
    <rPh sb="0" eb="2">
      <t>デンアツ</t>
    </rPh>
    <phoneticPr fontId="1"/>
  </si>
  <si>
    <t>抵抗 R [Ω]</t>
    <rPh sb="0" eb="2">
      <t>テイコウ</t>
    </rPh>
    <phoneticPr fontId="1"/>
  </si>
  <si>
    <t>電力計算（ P = E I ）</t>
    <rPh sb="0" eb="2">
      <t>デンリョク</t>
    </rPh>
    <rPh sb="2" eb="4">
      <t>ケイサン</t>
    </rPh>
    <phoneticPr fontId="1"/>
  </si>
  <si>
    <t>電力 P [W]</t>
    <rPh sb="0" eb="2">
      <t>デンリョク</t>
    </rPh>
    <phoneticPr fontId="1"/>
  </si>
  <si>
    <t>電力 P [Kw]</t>
    <rPh sb="0" eb="2">
      <t>デンリョク</t>
    </rPh>
    <phoneticPr fontId="1"/>
  </si>
  <si>
    <t>抵抗 R [KΩ]</t>
    <rPh sb="0" eb="2">
      <t>テイコウ</t>
    </rPh>
    <phoneticPr fontId="1"/>
  </si>
  <si>
    <t>オームの法則関係式</t>
    <rPh sb="6" eb="8">
      <t>カンケイ</t>
    </rPh>
    <rPh sb="8" eb="9">
      <t>シキ</t>
    </rPh>
    <phoneticPr fontId="1"/>
  </si>
  <si>
    <t>2015.05.04</t>
    <phoneticPr fontId="1"/>
  </si>
  <si>
    <t>周期と周波数</t>
    <rPh sb="0" eb="2">
      <t>シュウキ</t>
    </rPh>
    <rPh sb="3" eb="6">
      <t>シュウハスウ</t>
    </rPh>
    <phoneticPr fontId="1"/>
  </si>
  <si>
    <t>周期</t>
    <rPh sb="0" eb="2">
      <t>シュウキ</t>
    </rPh>
    <phoneticPr fontId="1"/>
  </si>
  <si>
    <t>周波数(Hz)</t>
    <rPh sb="0" eb="3">
      <t>シュウハ</t>
    </rPh>
    <phoneticPr fontId="1"/>
  </si>
  <si>
    <t>周波数(KHz)</t>
    <rPh sb="0" eb="3">
      <t>シュウハ</t>
    </rPh>
    <phoneticPr fontId="1"/>
  </si>
  <si>
    <t>周波数(MHz)</t>
    <rPh sb="0" eb="3">
      <t>シュウハ</t>
    </rPh>
    <phoneticPr fontId="1"/>
  </si>
  <si>
    <t>波長λ[m]</t>
    <rPh sb="0" eb="2">
      <t>ハチョウ</t>
    </rPh>
    <phoneticPr fontId="1"/>
  </si>
  <si>
    <t>波長λ/4[m]</t>
    <rPh sb="0" eb="2">
      <t>ハチョウ</t>
    </rPh>
    <phoneticPr fontId="1"/>
  </si>
  <si>
    <t>周波数と波長（ 光速 = 299792458 m/s ）</t>
    <rPh sb="0" eb="3">
      <t>シュウハスウ</t>
    </rPh>
    <rPh sb="4" eb="6">
      <t>ハチョウ</t>
    </rPh>
    <phoneticPr fontId="1"/>
  </si>
  <si>
    <r>
      <t xml:space="preserve"> X</t>
    </r>
    <r>
      <rPr>
        <sz val="8"/>
        <color theme="1"/>
        <rFont val="ＭＳ Ｐゴシック"/>
        <family val="3"/>
        <charset val="128"/>
        <scheme val="minor"/>
      </rPr>
      <t>L</t>
    </r>
    <r>
      <rPr>
        <sz val="11"/>
        <color theme="1"/>
        <rFont val="ＭＳ Ｐゴシック"/>
        <family val="3"/>
        <charset val="128"/>
        <scheme val="minor"/>
      </rPr>
      <t>（Ω）</t>
    </r>
    <phoneticPr fontId="1"/>
  </si>
  <si>
    <t>周波数[Hz]</t>
    <rPh sb="0" eb="3">
      <t>シュウハスウ</t>
    </rPh>
    <phoneticPr fontId="1"/>
  </si>
  <si>
    <t>L [H]</t>
    <phoneticPr fontId="1"/>
  </si>
  <si>
    <r>
      <t>誘導リアクタンス X</t>
    </r>
    <r>
      <rPr>
        <b/>
        <sz val="8"/>
        <color theme="1"/>
        <rFont val="ＭＳ Ｐゴシック"/>
        <family val="3"/>
        <charset val="128"/>
        <scheme val="minor"/>
      </rPr>
      <t xml:space="preserve">L </t>
    </r>
    <r>
      <rPr>
        <b/>
        <sz val="11"/>
        <color theme="1"/>
        <rFont val="ＭＳ Ｐゴシック"/>
        <family val="3"/>
        <charset val="128"/>
        <scheme val="minor"/>
      </rPr>
      <t>= 2πfL</t>
    </r>
    <rPh sb="0" eb="2">
      <t>ユウドウ</t>
    </rPh>
    <phoneticPr fontId="1"/>
  </si>
  <si>
    <t>C [F]</t>
    <phoneticPr fontId="1"/>
  </si>
  <si>
    <r>
      <t xml:space="preserve"> Xc</t>
    </r>
    <r>
      <rPr>
        <sz val="11"/>
        <color theme="1"/>
        <rFont val="ＭＳ Ｐゴシック"/>
        <family val="3"/>
        <charset val="128"/>
        <scheme val="minor"/>
      </rPr>
      <t>（Ω）</t>
    </r>
    <phoneticPr fontId="1"/>
  </si>
  <si>
    <t>空中線の実行高（長）</t>
    <rPh sb="0" eb="3">
      <t>クウチュウセン</t>
    </rPh>
    <rPh sb="4" eb="6">
      <t>ジッコウ</t>
    </rPh>
    <rPh sb="6" eb="7">
      <t>タカ</t>
    </rPh>
    <rPh sb="8" eb="9">
      <t>チョウ</t>
    </rPh>
    <phoneticPr fontId="1"/>
  </si>
  <si>
    <t>l [m]</t>
    <phoneticPr fontId="1"/>
  </si>
  <si>
    <t>h [m]</t>
    <phoneticPr fontId="1"/>
  </si>
  <si>
    <t>1/4波長接地空中線高 h [m] = λ/2π</t>
    <rPh sb="3" eb="5">
      <t>ハチョウ</t>
    </rPh>
    <rPh sb="5" eb="7">
      <t>セッチ</t>
    </rPh>
    <rPh sb="7" eb="10">
      <t>クウチュウセン</t>
    </rPh>
    <rPh sb="10" eb="11">
      <t>タカ</t>
    </rPh>
    <phoneticPr fontId="1"/>
  </si>
  <si>
    <t>半波長ダイポール長 l [m]　= λ / π</t>
    <rPh sb="0" eb="1">
      <t>ハン</t>
    </rPh>
    <rPh sb="1" eb="3">
      <t>ハチョウ</t>
    </rPh>
    <rPh sb="8" eb="9">
      <t>チョウ</t>
    </rPh>
    <phoneticPr fontId="1"/>
  </si>
  <si>
    <r>
      <t>容量リアクタンス Xc</t>
    </r>
    <r>
      <rPr>
        <b/>
        <sz val="8"/>
        <color theme="1"/>
        <rFont val="ＭＳ Ｐゴシック"/>
        <family val="3"/>
        <charset val="128"/>
        <scheme val="minor"/>
      </rPr>
      <t xml:space="preserve"> </t>
    </r>
    <r>
      <rPr>
        <b/>
        <sz val="11"/>
        <color theme="1"/>
        <rFont val="ＭＳ Ｐゴシック"/>
        <family val="3"/>
        <charset val="128"/>
        <scheme val="minor"/>
      </rPr>
      <t>= 1 / 2πfC</t>
    </r>
    <rPh sb="0" eb="2">
      <t>ヨウリョウ</t>
    </rPh>
    <phoneticPr fontId="1"/>
  </si>
  <si>
    <t>共振周波数　f = 1 /2π√LC</t>
    <rPh sb="0" eb="2">
      <t>キョウシン</t>
    </rPh>
    <rPh sb="2" eb="5">
      <t>シュウハスウ</t>
    </rPh>
    <phoneticPr fontId="1"/>
  </si>
  <si>
    <t>共振周波数 f [Hz]</t>
    <rPh sb="0" eb="2">
      <t>キョウシン</t>
    </rPh>
    <rPh sb="2" eb="5">
      <t>シュウハスウ</t>
    </rPh>
    <phoneticPr fontId="1"/>
  </si>
  <si>
    <t>抵抗と抵抗率　R = ρ( L / A )</t>
    <rPh sb="0" eb="2">
      <t>テイコウ</t>
    </rPh>
    <rPh sb="3" eb="5">
      <t>テイコウ</t>
    </rPh>
    <rPh sb="5" eb="6">
      <t>リツ</t>
    </rPh>
    <phoneticPr fontId="1"/>
  </si>
  <si>
    <t xml:space="preserve"> L ： 導体の長さ [m]</t>
    <rPh sb="5" eb="7">
      <t>ドウタイ</t>
    </rPh>
    <rPh sb="8" eb="9">
      <t>ナガ</t>
    </rPh>
    <phoneticPr fontId="1"/>
  </si>
  <si>
    <t xml:space="preserve"> A ： 導体の断面積 [㎡]</t>
    <rPh sb="5" eb="7">
      <t>ドウタイ</t>
    </rPh>
    <rPh sb="8" eb="11">
      <t>ダンメンセキ</t>
    </rPh>
    <phoneticPr fontId="1"/>
  </si>
  <si>
    <t xml:space="preserve"> ρ：抵抗率</t>
    <rPh sb="3" eb="6">
      <t>テイコウリツ</t>
    </rPh>
    <phoneticPr fontId="1"/>
  </si>
  <si>
    <t>長さ L [m]</t>
    <rPh sb="0" eb="1">
      <t>ナガ</t>
    </rPh>
    <phoneticPr fontId="1"/>
  </si>
  <si>
    <t>断面積 A [㎡]</t>
    <rPh sb="0" eb="3">
      <t>ダン</t>
    </rPh>
    <phoneticPr fontId="1"/>
  </si>
  <si>
    <t>抵抗率 ρ</t>
    <rPh sb="0" eb="3">
      <t>テイコウリツ</t>
    </rPh>
    <phoneticPr fontId="1"/>
  </si>
  <si>
    <t>A 辺長</t>
    <rPh sb="2" eb="3">
      <t>ヘン</t>
    </rPh>
    <rPh sb="3" eb="4">
      <t>チョウ</t>
    </rPh>
    <phoneticPr fontId="1"/>
  </si>
  <si>
    <t>B 辺長</t>
    <rPh sb="2" eb="4">
      <t>ヘン</t>
    </rPh>
    <phoneticPr fontId="1"/>
  </si>
  <si>
    <t>数学・三角関数</t>
    <phoneticPr fontId="1"/>
  </si>
  <si>
    <t>斜辺 C 長</t>
    <rPh sb="0" eb="2">
      <t>シャヘン</t>
    </rPh>
    <rPh sb="5" eb="6">
      <t>チョウ</t>
    </rPh>
    <phoneticPr fontId="1"/>
  </si>
  <si>
    <t>B 辺長</t>
    <rPh sb="2" eb="3">
      <t>ヘン</t>
    </rPh>
    <rPh sb="3" eb="4">
      <t>チョウ</t>
    </rPh>
    <phoneticPr fontId="1"/>
  </si>
  <si>
    <t>A 辺および B 辺がわかっている時 斜辺 C と角度θを求める（アークタンジェント）</t>
    <rPh sb="2" eb="3">
      <t>ヘン</t>
    </rPh>
    <rPh sb="9" eb="10">
      <t>ヘン</t>
    </rPh>
    <rPh sb="17" eb="18">
      <t>トキ</t>
    </rPh>
    <rPh sb="19" eb="21">
      <t>シャヘン</t>
    </rPh>
    <rPh sb="25" eb="27">
      <t>カクド</t>
    </rPh>
    <rPh sb="29" eb="30">
      <t>モト</t>
    </rPh>
    <phoneticPr fontId="1"/>
  </si>
  <si>
    <t>斜辺 C および A 辺がわかっている時 角度θを求める（アークサイン）</t>
    <rPh sb="0" eb="2">
      <t>シャヘン</t>
    </rPh>
    <rPh sb="11" eb="12">
      <t>ヘン</t>
    </rPh>
    <rPh sb="19" eb="20">
      <t>トキ</t>
    </rPh>
    <rPh sb="21" eb="23">
      <t>カクド</t>
    </rPh>
    <rPh sb="25" eb="26">
      <t>モト</t>
    </rPh>
    <phoneticPr fontId="1"/>
  </si>
  <si>
    <t>斜辺 C および B 辺がわかっている時 角度θを求める（アークコサイン）</t>
    <rPh sb="0" eb="2">
      <t>シャヘン</t>
    </rPh>
    <rPh sb="11" eb="12">
      <t>ヘン</t>
    </rPh>
    <rPh sb="19" eb="20">
      <t>トキ</t>
    </rPh>
    <rPh sb="21" eb="23">
      <t>カクド</t>
    </rPh>
    <rPh sb="25" eb="26">
      <t>モト</t>
    </rPh>
    <phoneticPr fontId="1"/>
  </si>
  <si>
    <t>2015.05.05</t>
  </si>
  <si>
    <t>　A</t>
    <phoneticPr fontId="1"/>
  </si>
  <si>
    <t xml:space="preserve">　　　　　　　　C (r) </t>
    <phoneticPr fontId="1"/>
  </si>
  <si>
    <t>値 D の x 乗を求める（べき乗）</t>
    <rPh sb="0" eb="1">
      <t>アタイ</t>
    </rPh>
    <rPh sb="8" eb="9">
      <t>ジョウ</t>
    </rPh>
    <rPh sb="10" eb="11">
      <t>モト</t>
    </rPh>
    <rPh sb="16" eb="17">
      <t>ジョウ</t>
    </rPh>
    <phoneticPr fontId="1"/>
  </si>
  <si>
    <t>？　（関数POWERを用いた場合）</t>
    <rPh sb="3" eb="5">
      <t>カンスウ</t>
    </rPh>
    <rPh sb="11" eb="12">
      <t>モチ</t>
    </rPh>
    <rPh sb="14" eb="16">
      <t>バアイ</t>
    </rPh>
    <phoneticPr fontId="1"/>
  </si>
  <si>
    <t>関数POWERを使用しない場合の方法</t>
    <rPh sb="0" eb="2">
      <t>カンスウ</t>
    </rPh>
    <rPh sb="8" eb="10">
      <t>シヨウ</t>
    </rPh>
    <rPh sb="13" eb="15">
      <t>バアイ</t>
    </rPh>
    <rPh sb="16" eb="18">
      <t>ホウホウ</t>
    </rPh>
    <phoneticPr fontId="1"/>
  </si>
  <si>
    <t>　　　　ｎ乗根とｎ乗の関係（ｎ乗根をとることは、１/ｎ乗することと同じである）</t>
    <phoneticPr fontId="1"/>
  </si>
  <si>
    <t>平成44</t>
    <phoneticPr fontId="1"/>
  </si>
  <si>
    <t>平成45</t>
    <phoneticPr fontId="1"/>
  </si>
  <si>
    <t>平成46</t>
    <phoneticPr fontId="1"/>
  </si>
  <si>
    <t>平成47</t>
    <phoneticPr fontId="1"/>
  </si>
  <si>
    <t>平成48</t>
    <phoneticPr fontId="1"/>
  </si>
  <si>
    <t>平成49</t>
    <phoneticPr fontId="1"/>
  </si>
  <si>
    <t>平成50</t>
    <phoneticPr fontId="1"/>
  </si>
  <si>
    <t>平成51</t>
    <phoneticPr fontId="1"/>
  </si>
  <si>
    <t>平成52</t>
    <phoneticPr fontId="1"/>
  </si>
  <si>
    <t>平成53</t>
    <phoneticPr fontId="1"/>
  </si>
  <si>
    <t>平成54</t>
    <phoneticPr fontId="1"/>
  </si>
  <si>
    <t>平成55</t>
    <phoneticPr fontId="1"/>
  </si>
  <si>
    <t>平成56</t>
    <phoneticPr fontId="1"/>
  </si>
  <si>
    <t>平成57</t>
    <phoneticPr fontId="1"/>
  </si>
  <si>
    <t>平成58</t>
    <phoneticPr fontId="1"/>
  </si>
  <si>
    <t>平成59</t>
    <phoneticPr fontId="1"/>
  </si>
  <si>
    <t>平成60</t>
    <phoneticPr fontId="1"/>
  </si>
  <si>
    <t>平成61</t>
    <phoneticPr fontId="1"/>
  </si>
  <si>
    <t>平成62</t>
    <phoneticPr fontId="1"/>
  </si>
  <si>
    <t>平成63</t>
    <phoneticPr fontId="1"/>
  </si>
  <si>
    <t>平成64</t>
    <phoneticPr fontId="1"/>
  </si>
  <si>
    <t>平成65</t>
    <phoneticPr fontId="1"/>
  </si>
  <si>
    <t>平成66</t>
    <phoneticPr fontId="1"/>
  </si>
  <si>
    <t>平成67</t>
    <phoneticPr fontId="1"/>
  </si>
  <si>
    <t>A0</t>
  </si>
  <si>
    <t xml:space="preserve"> 841  ×  1189mm</t>
  </si>
  <si>
    <t>A1</t>
  </si>
  <si>
    <t xml:space="preserve"> 594   *   841mm</t>
  </si>
  <si>
    <t>A2</t>
  </si>
  <si>
    <t xml:space="preserve"> 420   *   594mm</t>
  </si>
  <si>
    <t>A3</t>
  </si>
  <si>
    <t xml:space="preserve"> 297   *   420mm</t>
  </si>
  <si>
    <t>ミリ　←→　ピクセル　換算表</t>
  </si>
  <si>
    <t>A4</t>
  </si>
  <si>
    <t xml:space="preserve"> 210   *   297mm</t>
  </si>
  <si>
    <t>A5</t>
  </si>
  <si>
    <t xml:space="preserve"> 148   *   210mm</t>
  </si>
  <si>
    <t>解像度（dpi）</t>
  </si>
  <si>
    <t>解像度対応pixel</t>
  </si>
  <si>
    <t>寸法入力（mm）</t>
  </si>
  <si>
    <t>換算結果（pixel）</t>
  </si>
  <si>
    <t>A6</t>
  </si>
  <si>
    <t xml:space="preserve"> 105   *   148mm</t>
  </si>
  <si>
    <t>A7</t>
  </si>
  <si>
    <t xml:space="preserve">   74   *   105mm</t>
  </si>
  <si>
    <t>A8</t>
  </si>
  <si>
    <t xml:space="preserve">   52   *     74mm</t>
  </si>
  <si>
    <t>A9</t>
  </si>
  <si>
    <t xml:space="preserve">   37   *     52mm</t>
  </si>
  <si>
    <t>寸法入力（pixel）</t>
  </si>
  <si>
    <t>換算結果（mm）</t>
  </si>
  <si>
    <t>A10</t>
  </si>
  <si>
    <t xml:space="preserve">   26   *     37mm</t>
  </si>
  <si>
    <t>B0</t>
  </si>
  <si>
    <t>1030  *  1456mm</t>
  </si>
  <si>
    <t>B1</t>
  </si>
  <si>
    <t xml:space="preserve">  728  *  1030mm</t>
  </si>
  <si>
    <t>B2</t>
  </si>
  <si>
    <t xml:space="preserve">  515  *    728mm</t>
  </si>
  <si>
    <t>B3</t>
  </si>
  <si>
    <t xml:space="preserve">  364  *    515mm</t>
  </si>
  <si>
    <t>B4</t>
  </si>
  <si>
    <t xml:space="preserve">  257  *    364mm</t>
  </si>
  <si>
    <t>B5</t>
  </si>
  <si>
    <t xml:space="preserve">  182  *    257mm</t>
  </si>
  <si>
    <t>B6</t>
  </si>
  <si>
    <t xml:space="preserve">  128  *    182mm</t>
  </si>
  <si>
    <t>B7</t>
  </si>
  <si>
    <t xml:space="preserve">    91  *    128mm</t>
  </si>
  <si>
    <t>B8</t>
  </si>
  <si>
    <t xml:space="preserve">    64  *      91mm</t>
  </si>
  <si>
    <t>B9</t>
  </si>
  <si>
    <t xml:space="preserve">    45  *      64mm</t>
  </si>
  <si>
    <t>B10</t>
  </si>
  <si>
    <t xml:space="preserve">    32  *      45mm</t>
  </si>
  <si>
    <t>はがき</t>
  </si>
  <si>
    <t>148   *    100mm</t>
  </si>
  <si>
    <t>　　用紙サイズ（縦×横mm）</t>
    <phoneticPr fontId="1"/>
  </si>
  <si>
    <t>2021.08.09</t>
    <phoneticPr fontId="1"/>
  </si>
  <si>
    <t>2021.08.09</t>
    <phoneticPr fontId="1"/>
  </si>
  <si>
    <t>対 数  計 算 表</t>
    <rPh sb="0" eb="1">
      <t>タイ</t>
    </rPh>
    <rPh sb="2" eb="3">
      <t>カズ</t>
    </rPh>
    <rPh sb="5" eb="6">
      <t>ケイ</t>
    </rPh>
    <rPh sb="7" eb="8">
      <t>サン</t>
    </rPh>
    <rPh sb="9" eb="10">
      <t>オモテ</t>
    </rPh>
    <phoneticPr fontId="1"/>
  </si>
  <si>
    <t>2021.08.08</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</si>
</sst>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
  </numFmts>
  <fonts count="31" x14ac:knownFonts="1">
    <font>
      <sz val="11"/>
      <color theme="1"/>
      <name val="ＭＳ Ｐゴシック"/>
      <family val="2"/>
      <charset val="128"/>
      <scheme val="minor"/>
    </font>
    <font>
      <sz val="6"/>
      <name val="ＭＳ Ｐゴシック"/>
      <family val="2"/>
      <charset val="128"/>
      <scheme val="minor"/>
    </font>
    <font>
      <b/>
      <sz val="11"/>
      <color theme="1"/>
      <name val="ＭＳ Ｐゴシック"/>
      <family val="3"/>
      <charset val="128"/>
      <scheme val="minor"/>
    </font>
    <font>
      <b/>
      <sz val="14"/>
      <color theme="1"/>
      <name val="ＭＳ Ｐゴシック"/>
      <family val="3"/>
      <charset val="128"/>
      <scheme val="minor"/>
    </font>
    <font>
      <sz val="11"/>
      <color theme="1"/>
      <name val="ＭＳ Ｐゴシック"/>
      <family val="3"/>
      <charset val="128"/>
      <scheme val="minor"/>
    </font>
    <font>
      <b/>
      <sz val="8"/>
      <color theme="1"/>
      <name val="ＭＳ Ｐゴシック"/>
      <family val="3"/>
      <charset val="128"/>
      <scheme val="minor"/>
    </font>
    <font>
      <sz val="11"/>
      <color rgb="FF3F3F3F"/>
      <name val="メイリオ"/>
      <family val="3"/>
      <charset val="128"/>
    </font>
    <font>
      <b/>
      <sz val="14.4"/>
      <color rgb="FFFFFFFF"/>
      <name val="メイリオ"/>
      <family val="3"/>
      <charset val="128"/>
    </font>
    <font>
      <sz val="11"/>
      <color rgb="FFFFFFFF"/>
      <name val="メイリオ"/>
      <family val="3"/>
      <charset val="128"/>
    </font>
    <font>
      <u/>
      <sz val="11"/>
      <color theme="10"/>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b/>
      <sz val="10"/>
      <color theme="1"/>
      <name val="ＭＳ Ｐゴシック"/>
      <family val="3"/>
      <charset val="128"/>
      <scheme val="minor"/>
    </font>
    <font>
      <b/>
      <sz val="6"/>
      <color theme="1"/>
      <name val="ＭＳ Ｐゴシック"/>
      <family val="3"/>
      <charset val="128"/>
      <scheme val="minor"/>
    </font>
    <font>
      <b/>
      <sz val="11"/>
      <color rgb="FF333333"/>
      <name val="Arial"/>
      <family val="2"/>
    </font>
    <font>
      <sz val="11"/>
      <color rgb="FF222222"/>
      <name val="Arial"/>
      <family val="2"/>
    </font>
    <font>
      <sz val="11"/>
      <color rgb="FFFF0000"/>
      <name val="ＭＳ Ｐゴシック"/>
      <family val="3"/>
      <charset val="128"/>
      <scheme val="minor"/>
    </font>
    <font>
      <b/>
      <sz val="11"/>
      <color rgb="FFFF0000"/>
      <name val="ＭＳ Ｐゴシック"/>
      <family val="3"/>
      <charset val="128"/>
      <scheme val="minor"/>
    </font>
    <font>
      <b/>
      <sz val="14"/>
      <color rgb="FFFF0000"/>
      <name val="ＭＳ Ｐゴシック"/>
      <family val="3"/>
      <charset val="128"/>
      <scheme val="minor"/>
    </font>
    <font>
      <sz val="12"/>
      <color theme="1"/>
      <name val="ＭＳ Ｐゴシック"/>
      <family val="3"/>
      <charset val="128"/>
      <scheme val="minor"/>
    </font>
    <font>
      <vertAlign val="superscript"/>
      <sz val="11"/>
      <color theme="1"/>
      <name val="ＭＳ Ｐゴシック"/>
      <family val="3"/>
      <charset val="128"/>
      <scheme val="minor"/>
    </font>
    <font>
      <b/>
      <sz val="13.5"/>
      <color theme="1"/>
      <name val="ＭＳ Ｐゴシック"/>
      <family val="3"/>
      <charset val="128"/>
      <scheme val="minor"/>
    </font>
    <font>
      <sz val="11"/>
      <color theme="1"/>
      <name val="Verdana"/>
      <family val="2"/>
    </font>
    <font>
      <b/>
      <sz val="19"/>
      <color theme="1"/>
      <name val="Verdana"/>
      <family val="2"/>
    </font>
    <font>
      <b/>
      <sz val="9.1"/>
      <color theme="1"/>
      <name val="Verdana"/>
      <family val="2"/>
    </font>
    <font>
      <sz val="9.1999999999999993"/>
      <color theme="1"/>
      <name val="Verdana"/>
      <family val="2"/>
    </font>
    <font>
      <sz val="11"/>
      <color theme="1"/>
      <name val="ＭＳ Ｐゴシック"/>
      <family val="3"/>
      <charset val="128"/>
    </font>
    <font>
      <sz val="9.9"/>
      <color theme="1"/>
      <name val="Verdana"/>
      <family val="2"/>
    </font>
    <font>
      <sz val="12"/>
      <color theme="1"/>
      <name val="ＭＳ Ｐゴシック"/>
      <family val="2"/>
      <charset val="128"/>
      <scheme val="minor"/>
    </font>
    <font>
      <b/>
      <sz val="12"/>
      <color theme="1"/>
      <name val="ＭＳ Ｐゴシック"/>
      <family val="3"/>
      <charset val="128"/>
      <scheme val="minor"/>
    </font>
    <font>
      <sz val="8"/>
      <color theme="1"/>
      <name val="ＭＳ Ｐゴシック"/>
      <family val="3"/>
      <charset val="128"/>
      <scheme val="minor"/>
    </font>
  </fonts>
  <fills count="28">
    <fill>
      <patternFill patternType="none"/>
    </fill>
    <fill>
      <patternFill patternType="gray125"/>
    </fill>
    <fill>
      <patternFill patternType="solid">
        <fgColor rgb="FFFFFFCC"/>
        <bgColor indexed="64"/>
      </patternFill>
    </fill>
    <fill>
      <patternFill patternType="solid">
        <fgColor theme="3" tint="0.79998168889431442"/>
        <bgColor indexed="64"/>
      </patternFill>
    </fill>
    <fill>
      <patternFill patternType="solid">
        <fgColor rgb="FF6B82B2"/>
        <bgColor indexed="64"/>
      </patternFill>
    </fill>
    <fill>
      <patternFill patternType="solid">
        <fgColor rgb="FFF2F2F2"/>
        <bgColor indexed="64"/>
      </patternFill>
    </fill>
    <fill>
      <patternFill patternType="solid">
        <fgColor rgb="FFFFFFFF"/>
        <bgColor indexed="64"/>
      </patternFill>
    </fill>
    <fill>
      <patternFill patternType="solid">
        <fgColor rgb="FFF5F5F5"/>
        <bgColor indexed="64"/>
      </patternFill>
    </fill>
    <fill>
      <patternFill patternType="solid">
        <fgColor theme="9" tint="0.79998168889431442"/>
        <bgColor indexed="64"/>
      </patternFill>
    </fill>
    <fill>
      <patternFill patternType="solid">
        <fgColor rgb="FF00FFFF"/>
        <bgColor indexed="64"/>
      </patternFill>
    </fill>
    <fill>
      <patternFill patternType="solid">
        <fgColor rgb="FF00CC00"/>
        <bgColor indexed="64"/>
      </patternFill>
    </fill>
    <fill>
      <patternFill patternType="solid">
        <fgColor rgb="FFFBB7FD"/>
        <bgColor indexed="64"/>
      </patternFill>
    </fill>
    <fill>
      <patternFill patternType="solid">
        <fgColor rgb="FFBCD1FE"/>
        <bgColor indexed="64"/>
      </patternFill>
    </fill>
    <fill>
      <patternFill patternType="solid">
        <fgColor rgb="FFB1FEC9"/>
        <bgColor indexed="64"/>
      </patternFill>
    </fill>
    <fill>
      <patternFill patternType="solid">
        <fgColor rgb="FFFEC9DC"/>
        <bgColor indexed="64"/>
      </patternFill>
    </fill>
    <fill>
      <patternFill patternType="solid">
        <fgColor rgb="FF91F4CF"/>
        <bgColor indexed="64"/>
      </patternFill>
    </fill>
    <fill>
      <patternFill patternType="solid">
        <fgColor rgb="FFFECCA7"/>
        <bgColor indexed="64"/>
      </patternFill>
    </fill>
    <fill>
      <patternFill patternType="solid">
        <fgColor rgb="FFECB4FE"/>
        <bgColor indexed="64"/>
      </patternFill>
    </fill>
    <fill>
      <patternFill patternType="solid">
        <fgColor rgb="FFA5FEFE"/>
        <bgColor indexed="64"/>
      </patternFill>
    </fill>
    <fill>
      <patternFill patternType="solid">
        <fgColor rgb="FF9FFE98"/>
        <bgColor indexed="64"/>
      </patternFill>
    </fill>
    <fill>
      <patternFill patternType="solid">
        <fgColor rgb="FFFDDA88"/>
        <bgColor indexed="64"/>
      </patternFill>
    </fill>
    <fill>
      <patternFill patternType="solid">
        <fgColor rgb="FFFFD48E"/>
        <bgColor indexed="64"/>
      </patternFill>
    </fill>
    <fill>
      <patternFill patternType="solid">
        <fgColor rgb="FFFFFF99"/>
        <bgColor indexed="64"/>
      </patternFill>
    </fill>
    <fill>
      <patternFill patternType="solid">
        <fgColor rgb="FFB9EDFF"/>
        <bgColor indexed="64"/>
      </patternFill>
    </fill>
    <fill>
      <patternFill patternType="solid">
        <fgColor theme="3" tint="0.79998168889431442"/>
        <bgColor rgb="FFAFEAFF"/>
      </patternFill>
    </fill>
    <fill>
      <patternFill patternType="solid">
        <fgColor theme="3" tint="0.79998168889431442"/>
        <bgColor rgb="FFABE9FF"/>
      </patternFill>
    </fill>
    <fill>
      <patternFill patternType="solid">
        <fgColor theme="3" tint="0.79998168889431442"/>
        <bgColor rgb="FFB3EBFF"/>
      </patternFill>
    </fill>
    <fill>
      <patternFill patternType="solid">
        <fgColor theme="3" tint="0.79998168889431442"/>
        <bgColor rgb="FFB7ECFF"/>
      </patternFill>
    </fill>
  </fills>
  <borders count="47">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right style="medium">
        <color rgb="FF999999"/>
      </right>
      <top style="medium">
        <color rgb="FF999999"/>
      </top>
      <bottom/>
      <diagonal/>
    </border>
    <border>
      <left/>
      <right style="medium">
        <color rgb="FF999999"/>
      </right>
      <top/>
      <bottom/>
      <diagonal/>
    </border>
    <border>
      <left style="medium">
        <color rgb="FF999999"/>
      </left>
      <right style="medium">
        <color rgb="FF999999"/>
      </right>
      <top style="medium">
        <color rgb="FF999999"/>
      </top>
      <bottom/>
      <diagonal/>
    </border>
    <border>
      <left style="medium">
        <color rgb="FF999999"/>
      </left>
      <right style="medium">
        <color rgb="FF999999"/>
      </right>
      <top/>
      <bottom/>
      <diagonal/>
    </border>
    <border>
      <left style="medium">
        <color rgb="FF999999"/>
      </left>
      <right style="medium">
        <color rgb="FF999999"/>
      </right>
      <top/>
      <bottom style="medium">
        <color rgb="FF999999"/>
      </bottom>
      <diagonal/>
    </border>
    <border>
      <left/>
      <right/>
      <top/>
      <bottom style="medium">
        <color rgb="FF999999"/>
      </bottom>
      <diagonal/>
    </border>
    <border>
      <left/>
      <right/>
      <top/>
      <bottom style="medium">
        <color rgb="FFEEEEEE"/>
      </bottom>
      <diagonal/>
    </border>
    <border>
      <left/>
      <right/>
      <top style="medium">
        <color auto="1"/>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medium">
        <color auto="1"/>
      </left>
      <right style="medium">
        <color auto="1"/>
      </right>
      <top style="medium">
        <color auto="1"/>
      </top>
      <bottom/>
      <diagonal/>
    </border>
    <border>
      <left/>
      <right/>
      <top style="medium">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808080"/>
      </left>
      <right style="thin">
        <color rgb="FF808080"/>
      </right>
      <top style="thin">
        <color rgb="FF808080"/>
      </top>
      <bottom style="thin">
        <color rgb="FF808080"/>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diagonal/>
    </border>
    <border>
      <left style="medium">
        <color auto="1"/>
      </left>
      <right style="medium">
        <color auto="1"/>
      </right>
      <top/>
      <bottom style="thin">
        <color auto="1"/>
      </bottom>
      <diagonal/>
    </border>
    <border>
      <left style="medium">
        <color auto="1"/>
      </left>
      <right style="medium">
        <color auto="1"/>
      </right>
      <top style="thin">
        <color auto="1"/>
      </top>
      <bottom style="medium">
        <color auto="1"/>
      </bottom>
      <diagonal/>
    </border>
    <border>
      <left/>
      <right/>
      <top/>
      <bottom style="thin">
        <color rgb="FF808080"/>
      </bottom>
      <diagonal/>
    </border>
    <border>
      <left style="medium">
        <color rgb="FF008080"/>
      </left>
      <right/>
      <top/>
      <bottom/>
      <diagonal/>
    </border>
    <border>
      <left style="medium">
        <color rgb="FF008080"/>
      </left>
      <right/>
      <top/>
      <bottom style="thin">
        <color rgb="FF808080"/>
      </bottom>
      <diagonal/>
    </border>
    <border>
      <left style="thin">
        <color rgb="FF808080"/>
      </left>
      <right style="thin">
        <color rgb="FF808080"/>
      </right>
      <top style="thin">
        <color rgb="FF808080"/>
      </top>
      <bottom/>
      <diagonal/>
    </border>
    <border>
      <left style="thin">
        <color rgb="FF808080"/>
      </left>
      <right style="thin">
        <color rgb="FF808080"/>
      </right>
      <top/>
      <bottom/>
      <diagonal/>
    </border>
    <border>
      <left style="thin">
        <color rgb="FF808080"/>
      </left>
      <right style="thin">
        <color rgb="FF808080"/>
      </right>
      <top/>
      <bottom style="thin">
        <color rgb="FF808080"/>
      </bottom>
      <diagonal/>
    </border>
    <border>
      <left style="medium">
        <color auto="1"/>
      </left>
      <right/>
      <top/>
      <bottom/>
      <diagonal/>
    </border>
  </borders>
  <cellStyleXfs count="2">
    <xf numFmtId="0" fontId="0" fillId="0" borderId="0">
      <alignment vertical="center"/>
    </xf>
    <xf numFmtId="0" fontId="9" fillId="0" borderId="0" applyNumberFormat="0" applyFill="0" applyBorder="0" applyAlignment="0" applyProtection="0">
      <alignment vertical="center"/>
    </xf>
  </cellStyleXfs>
  <cellXfs count="296">
    <xf numFmtId="0" fontId="0" fillId="0" borderId="0" xfId="0">
      <alignment vertical="center"/>
    </xf>
    <xf numFmtId="0" fontId="0" fillId="0" borderId="0" xfId="0" applyAlignment="1">
      <alignment horizontal="center" vertical="center"/>
    </xf>
    <xf numFmtId="0" fontId="0" fillId="0" borderId="0" xfId="0" applyAlignment="1">
      <alignment horizontal="center" vertical="center"/>
    </xf>
    <xf numFmtId="0" fontId="0" fillId="0" borderId="0" xfId="0" applyFill="1" applyBorder="1" applyAlignment="1">
      <alignment horizontal="center" vertical="center"/>
    </xf>
    <xf numFmtId="0" fontId="0" fillId="0" borderId="0" xfId="0" applyFill="1" applyBorder="1">
      <alignment vertical="center"/>
    </xf>
    <xf numFmtId="0" fontId="0" fillId="0" borderId="0" xfId="0" applyBorder="1" applyAlignment="1">
      <alignment horizontal="center" vertical="center"/>
    </xf>
    <xf numFmtId="0" fontId="0" fillId="0" borderId="0" xfId="0" applyBorder="1">
      <alignment vertical="center"/>
    </xf>
    <xf numFmtId="0" fontId="3" fillId="0" borderId="0" xfId="0" applyFont="1" applyAlignment="1">
      <alignment horizontal="left" vertical="center"/>
    </xf>
    <xf numFmtId="0" fontId="3" fillId="0" borderId="0" xfId="0" applyFont="1" applyAlignment="1">
      <alignment horizontal="center" vertical="center"/>
    </xf>
    <xf numFmtId="0" fontId="0" fillId="2" borderId="2" xfId="0" applyFill="1" applyBorder="1">
      <alignment vertical="center"/>
    </xf>
    <xf numFmtId="0" fontId="0" fillId="3" borderId="2" xfId="0" applyFill="1" applyBorder="1">
      <alignment vertical="center"/>
    </xf>
    <xf numFmtId="0" fontId="0" fillId="0" borderId="0" xfId="0" applyAlignment="1">
      <alignment horizontal="center" vertical="top"/>
    </xf>
    <xf numFmtId="0" fontId="2" fillId="0" borderId="0" xfId="0" applyFont="1">
      <alignment vertical="center"/>
    </xf>
    <xf numFmtId="0" fontId="2" fillId="0" borderId="0" xfId="0" applyFont="1" applyAlignment="1">
      <alignment horizontal="center" vertical="center"/>
    </xf>
    <xf numFmtId="0" fontId="3" fillId="0" borderId="0" xfId="0" applyFont="1" applyAlignment="1">
      <alignment horizontal="right" vertical="center"/>
    </xf>
    <xf numFmtId="0" fontId="2" fillId="0" borderId="0" xfId="0" applyFont="1" applyFill="1" applyBorder="1" applyAlignment="1">
      <alignment horizontal="center" vertical="center"/>
    </xf>
    <xf numFmtId="0" fontId="2" fillId="0" borderId="0" xfId="0" applyFont="1" applyFill="1" applyBorder="1">
      <alignment vertical="center"/>
    </xf>
    <xf numFmtId="0" fontId="7" fillId="0" borderId="0" xfId="0" applyFont="1" applyAlignment="1">
      <alignment horizontal="left" vertical="center"/>
    </xf>
    <xf numFmtId="0" fontId="6" fillId="0" borderId="0" xfId="0" applyFont="1" applyAlignment="1">
      <alignment horizontal="left" vertical="center"/>
    </xf>
    <xf numFmtId="0" fontId="8" fillId="4" borderId="3" xfId="0" applyFont="1" applyFill="1" applyBorder="1" applyAlignment="1">
      <alignment horizontal="center" vertical="center" wrapText="1"/>
    </xf>
    <xf numFmtId="0" fontId="6" fillId="0" borderId="3" xfId="0" applyFont="1" applyBorder="1" applyAlignment="1">
      <alignment vertical="center" wrapText="1"/>
    </xf>
    <xf numFmtId="0" fontId="9" fillId="0" borderId="3" xfId="1" applyBorder="1" applyAlignment="1">
      <alignment vertical="center" wrapText="1"/>
    </xf>
    <xf numFmtId="0" fontId="6" fillId="5" borderId="3" xfId="0" applyFont="1" applyFill="1" applyBorder="1" applyAlignment="1">
      <alignment vertical="center" wrapText="1"/>
    </xf>
    <xf numFmtId="0" fontId="9" fillId="5" borderId="3" xfId="1" applyFill="1" applyBorder="1" applyAlignment="1">
      <alignment vertical="center" wrapText="1"/>
    </xf>
    <xf numFmtId="0" fontId="6" fillId="5" borderId="4" xfId="0" applyFont="1" applyFill="1" applyBorder="1" applyAlignment="1">
      <alignment vertical="center" wrapText="1"/>
    </xf>
    <xf numFmtId="0" fontId="6" fillId="0" borderId="4" xfId="0" applyFont="1" applyBorder="1" applyAlignment="1">
      <alignment vertical="center" wrapText="1"/>
    </xf>
    <xf numFmtId="0" fontId="8" fillId="4" borderId="5" xfId="0" applyFont="1" applyFill="1" applyBorder="1" applyAlignment="1">
      <alignment horizontal="center" vertical="center" wrapText="1"/>
    </xf>
    <xf numFmtId="0" fontId="6" fillId="0" borderId="5" xfId="0" applyFont="1" applyBorder="1" applyAlignment="1">
      <alignment vertical="center" wrapText="1"/>
    </xf>
    <xf numFmtId="0" fontId="6" fillId="5" borderId="5" xfId="0" applyFont="1" applyFill="1" applyBorder="1" applyAlignment="1">
      <alignment vertical="center" wrapText="1"/>
    </xf>
    <xf numFmtId="0" fontId="0" fillId="0" borderId="8" xfId="0" applyBorder="1">
      <alignment vertical="center"/>
    </xf>
    <xf numFmtId="0" fontId="0" fillId="0" borderId="0" xfId="0" applyBorder="1" applyAlignment="1">
      <alignment vertical="center"/>
    </xf>
    <xf numFmtId="0" fontId="2" fillId="0" borderId="0" xfId="0" applyFont="1" applyAlignment="1">
      <alignment horizontal="right" vertical="center"/>
    </xf>
    <xf numFmtId="0" fontId="10" fillId="0" borderId="0" xfId="0" applyFont="1">
      <alignment vertical="center"/>
    </xf>
    <xf numFmtId="0" fontId="0" fillId="0" borderId="0" xfId="0" applyAlignment="1">
      <alignment horizontal="right" vertical="top"/>
    </xf>
    <xf numFmtId="0" fontId="11" fillId="0" borderId="0" xfId="0" applyFont="1">
      <alignment vertical="center"/>
    </xf>
    <xf numFmtId="0" fontId="10" fillId="0" borderId="0" xfId="0" applyFont="1" applyAlignment="1">
      <alignment horizontal="center" vertical="center"/>
    </xf>
    <xf numFmtId="0" fontId="10" fillId="2" borderId="2" xfId="0" applyFont="1" applyFill="1" applyBorder="1">
      <alignment vertical="center"/>
    </xf>
    <xf numFmtId="0" fontId="10" fillId="0" borderId="0" xfId="0" applyFont="1" applyBorder="1" applyAlignment="1">
      <alignment vertical="center"/>
    </xf>
    <xf numFmtId="0" fontId="4" fillId="0" borderId="0" xfId="0" applyFont="1" applyAlignment="1">
      <alignment vertical="center"/>
    </xf>
    <xf numFmtId="0" fontId="0" fillId="0" borderId="0" xfId="0" applyAlignment="1">
      <alignment vertical="center"/>
    </xf>
    <xf numFmtId="0" fontId="10" fillId="3" borderId="2" xfId="0" applyFont="1" applyFill="1" applyBorder="1">
      <alignment vertical="center"/>
    </xf>
    <xf numFmtId="0" fontId="0" fillId="0" borderId="0" xfId="0" applyFont="1" applyBorder="1" applyAlignment="1">
      <alignment vertical="center"/>
    </xf>
    <xf numFmtId="0" fontId="10" fillId="0" borderId="0" xfId="0" applyFont="1" applyFill="1" applyBorder="1">
      <alignment vertical="center"/>
    </xf>
    <xf numFmtId="0" fontId="10" fillId="0" borderId="0" xfId="0" applyFont="1" applyFill="1" applyBorder="1" applyAlignment="1">
      <alignment horizontal="center" vertical="center"/>
    </xf>
    <xf numFmtId="0" fontId="0" fillId="0" borderId="0" xfId="0" applyFill="1" applyBorder="1" applyAlignment="1">
      <alignment vertical="center"/>
    </xf>
    <xf numFmtId="0" fontId="14" fillId="7" borderId="0" xfId="0" applyFont="1" applyFill="1" applyAlignment="1">
      <alignment horizontal="center" vertical="center" wrapText="1"/>
    </xf>
    <xf numFmtId="0" fontId="15" fillId="6" borderId="9" xfId="0" applyFont="1" applyFill="1" applyBorder="1" applyAlignment="1">
      <alignment vertical="top" wrapText="1"/>
    </xf>
    <xf numFmtId="0" fontId="0" fillId="0" borderId="0" xfId="0" applyFont="1">
      <alignment vertical="center"/>
    </xf>
    <xf numFmtId="0" fontId="4" fillId="0" borderId="0" xfId="0" applyFont="1" applyAlignment="1">
      <alignment horizontal="center" vertical="center"/>
    </xf>
    <xf numFmtId="0" fontId="4" fillId="0" borderId="0" xfId="0" applyFont="1" applyFill="1" applyBorder="1">
      <alignment vertical="center"/>
    </xf>
    <xf numFmtId="0" fontId="4" fillId="0" borderId="0" xfId="0" applyFont="1" applyFill="1" applyBorder="1" applyAlignment="1">
      <alignment horizontal="center" vertical="center"/>
    </xf>
    <xf numFmtId="0" fontId="4" fillId="0" borderId="0" xfId="0" applyFont="1">
      <alignment vertical="center"/>
    </xf>
    <xf numFmtId="0" fontId="0" fillId="0" borderId="0" xfId="0" applyFont="1" applyAlignment="1">
      <alignment horizontal="right" vertical="center"/>
    </xf>
    <xf numFmtId="0" fontId="4" fillId="3" borderId="2" xfId="0" applyFont="1" applyFill="1" applyBorder="1" applyAlignment="1">
      <alignment horizontal="right" vertical="center"/>
    </xf>
    <xf numFmtId="0" fontId="4" fillId="0" borderId="0" xfId="0" applyFont="1" applyFill="1" applyBorder="1" applyAlignment="1">
      <alignment horizontal="right" vertical="center"/>
    </xf>
    <xf numFmtId="0" fontId="4" fillId="0" borderId="0" xfId="0" applyFont="1" applyAlignment="1">
      <alignment horizontal="right" vertical="center"/>
    </xf>
    <xf numFmtId="0" fontId="4" fillId="2" borderId="1" xfId="0" applyFont="1" applyFill="1" applyBorder="1" applyAlignment="1">
      <alignment horizontal="right" vertical="center"/>
    </xf>
    <xf numFmtId="0" fontId="3" fillId="0" borderId="0" xfId="0" applyFont="1" applyAlignment="1">
      <alignment horizontal="center" vertical="center"/>
    </xf>
    <xf numFmtId="0" fontId="0" fillId="0" borderId="0" xfId="0" applyFont="1" applyAlignment="1">
      <alignment horizontal="center" vertical="center"/>
    </xf>
    <xf numFmtId="0" fontId="16" fillId="0" borderId="0" xfId="0" applyFont="1">
      <alignment vertical="center"/>
    </xf>
    <xf numFmtId="0" fontId="0" fillId="2" borderId="1" xfId="0" applyFill="1" applyBorder="1">
      <alignment vertical="center"/>
    </xf>
    <xf numFmtId="11" fontId="0" fillId="0" borderId="0" xfId="0" applyNumberFormat="1">
      <alignment vertical="center"/>
    </xf>
    <xf numFmtId="0" fontId="0" fillId="0" borderId="0" xfId="0" applyAlignment="1">
      <alignment horizontal="left" vertical="center"/>
    </xf>
    <xf numFmtId="176" fontId="0" fillId="0" borderId="0" xfId="0" applyNumberFormat="1">
      <alignment vertical="center"/>
    </xf>
    <xf numFmtId="0" fontId="0" fillId="0" borderId="0" xfId="0" applyNumberFormat="1">
      <alignment vertical="center"/>
    </xf>
    <xf numFmtId="0" fontId="0" fillId="0" borderId="0" xfId="0" applyNumberFormat="1" applyAlignment="1">
      <alignment horizontal="center" vertical="center"/>
    </xf>
    <xf numFmtId="0" fontId="0" fillId="3" borderId="2" xfId="0" applyFill="1" applyBorder="1" applyAlignment="1">
      <alignment horizontal="right" vertical="center"/>
    </xf>
    <xf numFmtId="0" fontId="0" fillId="2" borderId="1" xfId="0" applyFill="1" applyBorder="1" applyAlignment="1">
      <alignment horizontal="right" vertical="center"/>
    </xf>
    <xf numFmtId="0" fontId="0" fillId="0" borderId="0" xfId="0" applyAlignment="1">
      <alignment horizontal="right" vertical="center"/>
    </xf>
    <xf numFmtId="0" fontId="0" fillId="0" borderId="0" xfId="0" applyAlignment="1">
      <alignment horizontal="right" vertical="center"/>
    </xf>
    <xf numFmtId="0" fontId="0" fillId="0" borderId="0" xfId="0" applyAlignment="1">
      <alignment horizontal="left" vertical="center"/>
    </xf>
    <xf numFmtId="0" fontId="0" fillId="0" borderId="0" xfId="0" applyAlignment="1">
      <alignment horizontal="center" vertical="center"/>
    </xf>
    <xf numFmtId="0" fontId="10" fillId="0" borderId="10" xfId="0" applyFont="1" applyFill="1" applyBorder="1">
      <alignment vertical="center"/>
    </xf>
    <xf numFmtId="0" fontId="11" fillId="3" borderId="2" xfId="0" applyFont="1" applyFill="1" applyBorder="1" applyAlignment="1">
      <alignment vertical="center"/>
    </xf>
    <xf numFmtId="176" fontId="0" fillId="0" borderId="0" xfId="0" applyNumberFormat="1" applyAlignment="1">
      <alignment horizontal="center" vertical="center"/>
    </xf>
    <xf numFmtId="0" fontId="0" fillId="8" borderId="1" xfId="0" applyFont="1" applyFill="1" applyBorder="1" applyAlignment="1">
      <alignment horizontal="center" vertical="center"/>
    </xf>
    <xf numFmtId="0" fontId="0" fillId="8" borderId="1" xfId="0" applyFill="1" applyBorder="1" applyAlignment="1">
      <alignment horizontal="center" vertical="center"/>
    </xf>
    <xf numFmtId="0" fontId="0" fillId="0" borderId="0" xfId="0" applyFill="1" applyAlignment="1">
      <alignment horizontal="center" vertical="center"/>
    </xf>
    <xf numFmtId="0" fontId="0" fillId="0" borderId="11" xfId="0" applyBorder="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2" fillId="0" borderId="0" xfId="0" applyFont="1" applyBorder="1">
      <alignment vertical="center"/>
    </xf>
    <xf numFmtId="0" fontId="0" fillId="0" borderId="15" xfId="0" applyBorder="1">
      <alignment vertical="center"/>
    </xf>
    <xf numFmtId="0" fontId="0" fillId="0" borderId="16" xfId="0" applyBorder="1">
      <alignment vertical="center"/>
    </xf>
    <xf numFmtId="0" fontId="0" fillId="0" borderId="17" xfId="0" applyBorder="1">
      <alignment vertical="center"/>
    </xf>
    <xf numFmtId="0" fontId="0" fillId="0" borderId="18" xfId="0" applyBorder="1">
      <alignment vertical="center"/>
    </xf>
    <xf numFmtId="0" fontId="3" fillId="0" borderId="0" xfId="0" applyFont="1" applyAlignment="1">
      <alignment horizontal="center" vertical="center"/>
    </xf>
    <xf numFmtId="0" fontId="0" fillId="0" borderId="0" xfId="0" applyAlignment="1">
      <alignment horizontal="right" vertical="center"/>
    </xf>
    <xf numFmtId="0" fontId="2" fillId="0" borderId="0" xfId="0" applyFont="1" applyAlignment="1">
      <alignment horizontal="left" vertical="center"/>
    </xf>
    <xf numFmtId="0" fontId="17" fillId="0" borderId="0" xfId="0" applyFont="1">
      <alignment vertical="center"/>
    </xf>
    <xf numFmtId="0" fontId="0" fillId="2" borderId="19" xfId="0" applyFill="1" applyBorder="1">
      <alignment vertical="center"/>
    </xf>
    <xf numFmtId="0" fontId="4" fillId="3" borderId="2" xfId="0" applyFont="1" applyFill="1" applyBorder="1" applyAlignment="1">
      <alignment horizontal="center" vertical="center"/>
    </xf>
    <xf numFmtId="0" fontId="3" fillId="0" borderId="0" xfId="0" applyFont="1" applyBorder="1" applyAlignment="1">
      <alignment horizontal="right" vertical="center"/>
    </xf>
    <xf numFmtId="0" fontId="2" fillId="0" borderId="0" xfId="0" applyFont="1" applyBorder="1" applyAlignment="1">
      <alignment horizontal="left" vertical="center"/>
    </xf>
    <xf numFmtId="0" fontId="2" fillId="0" borderId="17" xfId="0" applyFont="1" applyFill="1" applyBorder="1" applyAlignment="1">
      <alignment horizontal="center" vertical="center"/>
    </xf>
    <xf numFmtId="0" fontId="2" fillId="0" borderId="0" xfId="0" applyFont="1" applyBorder="1" applyAlignment="1">
      <alignment horizontal="center" vertical="center"/>
    </xf>
    <xf numFmtId="0" fontId="3" fillId="0" borderId="15" xfId="0" applyFont="1" applyBorder="1" applyAlignment="1">
      <alignment horizontal="center"/>
    </xf>
    <xf numFmtId="0" fontId="3" fillId="0" borderId="15" xfId="0" applyFont="1" applyBorder="1" applyAlignment="1">
      <alignment horizontal="center" vertical="top"/>
    </xf>
    <xf numFmtId="0" fontId="4" fillId="2" borderId="2" xfId="0" applyFont="1" applyFill="1" applyBorder="1" applyAlignment="1">
      <alignment horizontal="center" vertical="center"/>
    </xf>
    <xf numFmtId="0" fontId="18" fillId="0" borderId="0" xfId="0" applyFont="1">
      <alignment vertical="center"/>
    </xf>
    <xf numFmtId="0" fontId="10" fillId="0" borderId="12" xfId="0" applyFont="1" applyBorder="1">
      <alignment vertical="center"/>
    </xf>
    <xf numFmtId="0" fontId="3" fillId="0" borderId="12" xfId="0" applyFont="1" applyBorder="1" applyAlignment="1">
      <alignment horizontal="right" vertical="center"/>
    </xf>
    <xf numFmtId="0" fontId="10" fillId="0" borderId="0" xfId="0" applyFont="1" applyBorder="1">
      <alignment vertical="center"/>
    </xf>
    <xf numFmtId="0" fontId="11" fillId="0" borderId="0" xfId="0" applyFont="1" applyBorder="1" applyAlignment="1">
      <alignment horizontal="right" vertical="center"/>
    </xf>
    <xf numFmtId="0" fontId="4" fillId="0" borderId="0" xfId="0" applyFont="1" applyBorder="1" applyAlignment="1">
      <alignment horizontal="left" vertical="top"/>
    </xf>
    <xf numFmtId="0" fontId="11" fillId="0" borderId="0" xfId="0" applyFont="1" applyBorder="1" applyAlignment="1">
      <alignment horizontal="center" vertical="center"/>
    </xf>
    <xf numFmtId="0" fontId="11" fillId="0" borderId="0" xfId="0" applyFont="1" applyBorder="1">
      <alignment vertical="center"/>
    </xf>
    <xf numFmtId="0" fontId="3" fillId="0" borderId="0" xfId="0" applyFont="1" applyBorder="1" applyAlignment="1">
      <alignment horizontal="left" vertical="center"/>
    </xf>
    <xf numFmtId="0" fontId="0" fillId="0" borderId="0" xfId="0" applyBorder="1" applyAlignment="1">
      <alignment horizontal="right" vertical="center"/>
    </xf>
    <xf numFmtId="0" fontId="0" fillId="0" borderId="0" xfId="0" applyBorder="1" applyAlignment="1">
      <alignment horizontal="left" vertical="center"/>
    </xf>
    <xf numFmtId="0" fontId="4" fillId="0" borderId="0" xfId="0" applyFont="1" applyBorder="1" applyAlignment="1">
      <alignment vertical="center"/>
    </xf>
    <xf numFmtId="0" fontId="0" fillId="0" borderId="15" xfId="0" applyBorder="1" applyAlignment="1">
      <alignment vertical="center"/>
    </xf>
    <xf numFmtId="0" fontId="10" fillId="0" borderId="17" xfId="0" applyFont="1" applyBorder="1">
      <alignment vertical="center"/>
    </xf>
    <xf numFmtId="0" fontId="3" fillId="0" borderId="17" xfId="0" applyFont="1" applyBorder="1" applyAlignment="1">
      <alignment horizontal="right" vertical="center"/>
    </xf>
    <xf numFmtId="0" fontId="10" fillId="0" borderId="20" xfId="0" applyFont="1" applyFill="1" applyBorder="1">
      <alignment vertical="center"/>
    </xf>
    <xf numFmtId="0" fontId="0" fillId="0" borderId="17" xfId="0" applyFont="1" applyBorder="1" applyAlignment="1">
      <alignment vertical="center"/>
    </xf>
    <xf numFmtId="0" fontId="4" fillId="0" borderId="17" xfId="0" applyFont="1" applyBorder="1" applyAlignment="1">
      <alignment vertical="center"/>
    </xf>
    <xf numFmtId="0" fontId="0" fillId="0" borderId="17" xfId="0" applyBorder="1" applyAlignment="1">
      <alignment vertical="center"/>
    </xf>
    <xf numFmtId="0" fontId="0" fillId="0" borderId="18" xfId="0" applyBorder="1" applyAlignment="1">
      <alignment vertical="center"/>
    </xf>
    <xf numFmtId="0" fontId="3" fillId="0" borderId="0" xfId="0" applyFont="1">
      <alignment vertical="center"/>
    </xf>
    <xf numFmtId="0" fontId="17" fillId="0" borderId="0" xfId="0" applyFont="1" applyAlignment="1">
      <alignment horizontal="left" vertical="center"/>
    </xf>
    <xf numFmtId="0" fontId="3" fillId="0" borderId="12" xfId="0" applyFont="1" applyBorder="1">
      <alignment vertical="center"/>
    </xf>
    <xf numFmtId="0" fontId="3" fillId="0" borderId="12" xfId="0" applyFont="1" applyBorder="1" applyAlignment="1">
      <alignment vertical="top"/>
    </xf>
    <xf numFmtId="0" fontId="2" fillId="0" borderId="12" xfId="0" applyFont="1" applyBorder="1" applyAlignment="1">
      <alignment horizontal="left" vertical="top"/>
    </xf>
    <xf numFmtId="0" fontId="3" fillId="0" borderId="0" xfId="0" applyFont="1" applyBorder="1">
      <alignment vertical="center"/>
    </xf>
    <xf numFmtId="0" fontId="2" fillId="0" borderId="0" xfId="0" applyFont="1" applyBorder="1" applyAlignment="1">
      <alignment horizontal="left" vertical="top"/>
    </xf>
    <xf numFmtId="0" fontId="3" fillId="0" borderId="0" xfId="0" applyFont="1" applyBorder="1" applyAlignment="1">
      <alignment horizontal="center" vertical="center"/>
    </xf>
    <xf numFmtId="0" fontId="3" fillId="0" borderId="0" xfId="0" applyFont="1" applyAlignment="1">
      <alignment horizontal="right" vertical="center"/>
    </xf>
    <xf numFmtId="0" fontId="4" fillId="2" borderId="0" xfId="0" applyFont="1" applyFill="1">
      <alignment vertical="center"/>
    </xf>
    <xf numFmtId="0" fontId="4" fillId="3" borderId="0" xfId="0" applyFont="1" applyFill="1">
      <alignment vertical="center"/>
    </xf>
    <xf numFmtId="0" fontId="4" fillId="8" borderId="0" xfId="0" applyFont="1" applyFill="1" applyAlignment="1">
      <alignment horizontal="left" vertical="center"/>
    </xf>
    <xf numFmtId="0" fontId="4" fillId="8" borderId="0" xfId="0" applyFont="1" applyFill="1">
      <alignment vertical="center"/>
    </xf>
    <xf numFmtId="0" fontId="4" fillId="0" borderId="0" xfId="0" applyFont="1" applyFill="1" applyAlignment="1">
      <alignment horizontal="left" vertical="center"/>
    </xf>
    <xf numFmtId="0" fontId="4" fillId="0" borderId="0" xfId="0" applyFont="1" applyFill="1">
      <alignment vertical="center"/>
    </xf>
    <xf numFmtId="0" fontId="3" fillId="0" borderId="0" xfId="0" applyFont="1" applyAlignment="1">
      <alignment horizontal="right" vertical="center"/>
    </xf>
    <xf numFmtId="0" fontId="2" fillId="0" borderId="0" xfId="0" applyFont="1" applyAlignment="1">
      <alignment horizontal="left" vertical="top"/>
    </xf>
    <xf numFmtId="0" fontId="11" fillId="0" borderId="0" xfId="0" applyFont="1" applyAlignment="1">
      <alignment horizontal="center" vertical="center"/>
    </xf>
    <xf numFmtId="0" fontId="11" fillId="2" borderId="2" xfId="0" applyFont="1" applyFill="1" applyBorder="1">
      <alignment vertical="center"/>
    </xf>
    <xf numFmtId="0" fontId="11" fillId="3" borderId="2" xfId="0" applyFont="1" applyFill="1" applyBorder="1">
      <alignment vertical="center"/>
    </xf>
    <xf numFmtId="0" fontId="0" fillId="8" borderId="2" xfId="0" applyFill="1" applyBorder="1" applyAlignment="1">
      <alignment horizontal="center" vertical="center"/>
    </xf>
    <xf numFmtId="0" fontId="0" fillId="3" borderId="2" xfId="0" applyFill="1" applyBorder="1" applyAlignment="1">
      <alignment horizontal="center" vertical="center"/>
    </xf>
    <xf numFmtId="0" fontId="0" fillId="8" borderId="2" xfId="0" applyFill="1" applyBorder="1">
      <alignment vertical="center"/>
    </xf>
    <xf numFmtId="0" fontId="0" fillId="0" borderId="1" xfId="0" applyBorder="1" applyAlignment="1">
      <alignment horizontal="center" vertical="center"/>
    </xf>
    <xf numFmtId="0" fontId="0" fillId="0" borderId="1" xfId="0" applyBorder="1">
      <alignment vertical="center"/>
    </xf>
    <xf numFmtId="0" fontId="0" fillId="0" borderId="24" xfId="0" applyBorder="1" applyAlignment="1">
      <alignment vertical="center" wrapText="1"/>
    </xf>
    <xf numFmtId="0" fontId="0" fillId="10" borderId="24" xfId="0" applyFill="1" applyBorder="1" applyAlignment="1">
      <alignment horizontal="center" vertical="center" wrapText="1"/>
    </xf>
    <xf numFmtId="0" fontId="0" fillId="11" borderId="29" xfId="0" applyFill="1" applyBorder="1" applyAlignment="1">
      <alignment vertical="center" wrapText="1"/>
    </xf>
    <xf numFmtId="0" fontId="0" fillId="11" borderId="30" xfId="0" applyFill="1" applyBorder="1" applyAlignment="1">
      <alignment vertical="center" wrapText="1"/>
    </xf>
    <xf numFmtId="0" fontId="0" fillId="0" borderId="24" xfId="0" applyNumberFormat="1" applyBorder="1" applyAlignment="1">
      <alignment vertical="center" wrapText="1"/>
    </xf>
    <xf numFmtId="0" fontId="0" fillId="10" borderId="24" xfId="0" applyNumberFormat="1" applyFill="1" applyBorder="1" applyAlignment="1">
      <alignment horizontal="center" vertical="center" wrapText="1"/>
    </xf>
    <xf numFmtId="0" fontId="0" fillId="11" borderId="28" xfId="0" applyFill="1" applyBorder="1" applyAlignment="1">
      <alignment horizontal="center" vertical="center" wrapText="1"/>
    </xf>
    <xf numFmtId="0" fontId="0" fillId="11" borderId="29" xfId="0" applyFill="1" applyBorder="1" applyAlignment="1">
      <alignment horizontal="center" vertical="center" wrapText="1"/>
    </xf>
    <xf numFmtId="0" fontId="21" fillId="0" borderId="0" xfId="0" applyFont="1">
      <alignment vertical="center"/>
    </xf>
    <xf numFmtId="0" fontId="23" fillId="0" borderId="0" xfId="0" applyFont="1" applyAlignment="1">
      <alignment horizontal="left" vertical="center" indent="1"/>
    </xf>
    <xf numFmtId="0" fontId="24" fillId="21" borderId="31" xfId="0" applyFont="1" applyFill="1" applyBorder="1" applyAlignment="1">
      <alignment horizontal="center" vertical="center" wrapText="1"/>
    </xf>
    <xf numFmtId="0" fontId="9" fillId="0" borderId="31" xfId="1" applyBorder="1" applyAlignment="1">
      <alignment horizontal="left" vertical="center" wrapText="1"/>
    </xf>
    <xf numFmtId="0" fontId="25" fillId="0" borderId="31" xfId="0" applyFont="1" applyBorder="1" applyAlignment="1">
      <alignment horizontal="left" vertical="center" wrapText="1"/>
    </xf>
    <xf numFmtId="0" fontId="0" fillId="22" borderId="1" xfId="0" applyFill="1" applyBorder="1">
      <alignment vertical="center"/>
    </xf>
    <xf numFmtId="0" fontId="2" fillId="0" borderId="35" xfId="0" applyFont="1" applyBorder="1" applyAlignment="1">
      <alignment horizontal="center" vertical="center"/>
    </xf>
    <xf numFmtId="0" fontId="0" fillId="0" borderId="35" xfId="0" applyBorder="1">
      <alignment vertical="center"/>
    </xf>
    <xf numFmtId="0" fontId="0" fillId="0" borderId="36" xfId="0" applyBorder="1" applyAlignment="1">
      <alignment horizontal="center" vertical="center"/>
    </xf>
    <xf numFmtId="0" fontId="0" fillId="0" borderId="36" xfId="0" applyBorder="1">
      <alignment vertical="center"/>
    </xf>
    <xf numFmtId="0" fontId="0" fillId="0" borderId="37" xfId="0" applyBorder="1" applyAlignment="1">
      <alignment horizontal="center" vertical="center"/>
    </xf>
    <xf numFmtId="0" fontId="0" fillId="0" borderId="2" xfId="0" applyBorder="1" applyAlignment="1">
      <alignment horizontal="center" vertical="center"/>
    </xf>
    <xf numFmtId="0" fontId="0" fillId="0" borderId="38" xfId="0" applyBorder="1" applyAlignment="1">
      <alignment horizontal="center" vertical="center"/>
    </xf>
    <xf numFmtId="0" fontId="0" fillId="0" borderId="39" xfId="0" applyBorder="1">
      <alignment vertical="center"/>
    </xf>
    <xf numFmtId="0" fontId="0" fillId="0" borderId="39" xfId="0" applyBorder="1" applyAlignment="1">
      <alignment horizontal="center" vertical="center"/>
    </xf>
    <xf numFmtId="0" fontId="0" fillId="0" borderId="0" xfId="0" applyAlignment="1">
      <alignment vertical="center"/>
    </xf>
    <xf numFmtId="0" fontId="17" fillId="0" borderId="0" xfId="0" applyFont="1" applyAlignment="1">
      <alignment horizontal="center" vertical="center"/>
    </xf>
    <xf numFmtId="0" fontId="9" fillId="0" borderId="0" xfId="1" applyAlignment="1">
      <alignment horizontal="center" vertical="center"/>
    </xf>
    <xf numFmtId="0" fontId="0" fillId="23" borderId="1" xfId="0" applyFill="1" applyBorder="1">
      <alignment vertical="center"/>
    </xf>
    <xf numFmtId="0" fontId="2" fillId="0" borderId="0" xfId="0" applyFont="1" applyAlignment="1">
      <alignment horizontal="center" vertical="center"/>
    </xf>
    <xf numFmtId="0" fontId="2" fillId="0" borderId="0" xfId="0" applyFont="1" applyBorder="1" applyAlignment="1">
      <alignment horizontal="center" vertical="center"/>
    </xf>
    <xf numFmtId="0" fontId="0" fillId="0" borderId="0" xfId="0" applyAlignment="1">
      <alignment horizontal="center" vertical="center"/>
    </xf>
    <xf numFmtId="0" fontId="2" fillId="0" borderId="0" xfId="0" applyFont="1" applyBorder="1" applyAlignment="1">
      <alignment horizontal="center" vertical="center"/>
    </xf>
    <xf numFmtId="0" fontId="17" fillId="0" borderId="0" xfId="0" applyFont="1" applyBorder="1">
      <alignment vertical="center"/>
    </xf>
    <xf numFmtId="0" fontId="0" fillId="3" borderId="1" xfId="0" applyFill="1" applyBorder="1">
      <alignment vertical="center"/>
    </xf>
    <xf numFmtId="0" fontId="0" fillId="0" borderId="36" xfId="0" applyBorder="1" applyAlignment="1">
      <alignment horizontal="right" vertical="center"/>
    </xf>
    <xf numFmtId="0" fontId="0" fillId="0" borderId="37" xfId="0" applyBorder="1" applyAlignment="1">
      <alignment horizontal="right" vertical="center"/>
    </xf>
    <xf numFmtId="0" fontId="0" fillId="0" borderId="2" xfId="0" applyBorder="1" applyAlignment="1">
      <alignment horizontal="right" vertical="center"/>
    </xf>
    <xf numFmtId="0" fontId="0" fillId="0" borderId="38" xfId="0" applyBorder="1" applyAlignment="1">
      <alignment horizontal="right" vertical="center"/>
    </xf>
    <xf numFmtId="0" fontId="0" fillId="0" borderId="39" xfId="0" applyBorder="1" applyAlignment="1">
      <alignment horizontal="right" vertical="center"/>
    </xf>
    <xf numFmtId="0" fontId="4" fillId="0" borderId="0" xfId="0" applyFont="1" applyBorder="1">
      <alignment vertical="center"/>
    </xf>
    <xf numFmtId="0" fontId="0" fillId="24" borderId="1" xfId="0" applyFill="1" applyBorder="1">
      <alignment vertical="center"/>
    </xf>
    <xf numFmtId="0" fontId="0" fillId="25" borderId="1" xfId="0" applyFill="1" applyBorder="1">
      <alignment vertical="center"/>
    </xf>
    <xf numFmtId="0" fontId="0" fillId="26" borderId="1" xfId="0" applyFill="1" applyBorder="1">
      <alignment vertical="center"/>
    </xf>
    <xf numFmtId="0" fontId="0" fillId="27" borderId="1" xfId="0" applyFill="1" applyBorder="1">
      <alignment vertical="center"/>
    </xf>
    <xf numFmtId="0" fontId="0" fillId="0" borderId="0" xfId="0" applyAlignment="1">
      <alignment horizontal="center" vertical="center"/>
    </xf>
    <xf numFmtId="0" fontId="0" fillId="0" borderId="0" xfId="0" applyAlignment="1">
      <alignment vertical="center"/>
    </xf>
    <xf numFmtId="0" fontId="0" fillId="0" borderId="0" xfId="0" applyAlignment="1">
      <alignment horizontal="center" vertical="center"/>
    </xf>
    <xf numFmtId="0" fontId="3" fillId="0" borderId="0" xfId="0" applyFont="1" applyAlignment="1">
      <alignment vertical="center"/>
    </xf>
    <xf numFmtId="0" fontId="0" fillId="6" borderId="41" xfId="0" applyFill="1" applyBorder="1" applyAlignment="1">
      <alignment horizontal="left" vertical="center"/>
    </xf>
    <xf numFmtId="0" fontId="0" fillId="6" borderId="42" xfId="0" applyFill="1" applyBorder="1" applyAlignment="1">
      <alignment horizontal="left" vertical="center"/>
    </xf>
    <xf numFmtId="0" fontId="26" fillId="0" borderId="0" xfId="0" applyFont="1" applyBorder="1" applyAlignment="1">
      <alignment horizontal="left" vertical="center" indent="1"/>
    </xf>
    <xf numFmtId="0" fontId="9" fillId="0" borderId="43" xfId="1" applyBorder="1" applyAlignment="1">
      <alignment horizontal="left" vertical="center" wrapText="1" indent="2"/>
    </xf>
    <xf numFmtId="0" fontId="9" fillId="0" borderId="44" xfId="1" applyBorder="1" applyAlignment="1">
      <alignment horizontal="left" vertical="center" wrapText="1" indent="2"/>
    </xf>
    <xf numFmtId="0" fontId="27" fillId="0" borderId="44" xfId="0" applyFont="1" applyBorder="1" applyAlignment="1">
      <alignment horizontal="left" vertical="center" wrapText="1" indent="2"/>
    </xf>
    <xf numFmtId="0" fontId="0" fillId="0" borderId="45" xfId="0" applyBorder="1" applyAlignment="1">
      <alignment horizontal="left" vertical="center" wrapText="1"/>
    </xf>
    <xf numFmtId="0" fontId="28" fillId="0" borderId="0" xfId="0" applyFont="1" applyAlignment="1">
      <alignment vertical="center"/>
    </xf>
    <xf numFmtId="0" fontId="3" fillId="0" borderId="0" xfId="0" applyFont="1" applyAlignment="1">
      <alignment horizontal="left" vertical="center"/>
    </xf>
    <xf numFmtId="0" fontId="0" fillId="0" borderId="0" xfId="0" applyAlignment="1">
      <alignment horizontal="center" vertical="center"/>
    </xf>
    <xf numFmtId="0" fontId="0" fillId="0" borderId="0" xfId="0" applyAlignment="1">
      <alignment horizontal="center" vertical="center"/>
    </xf>
    <xf numFmtId="0" fontId="29" fillId="0" borderId="0" xfId="0" applyFont="1">
      <alignment vertical="center"/>
    </xf>
    <xf numFmtId="0" fontId="0" fillId="0" borderId="0" xfId="0" applyAlignment="1">
      <alignment horizontal="center" vertical="center"/>
    </xf>
    <xf numFmtId="0" fontId="0" fillId="0" borderId="46" xfId="0" applyFill="1" applyBorder="1">
      <alignment vertical="center"/>
    </xf>
    <xf numFmtId="0" fontId="3" fillId="0" borderId="0" xfId="0" applyFont="1" applyAlignment="1">
      <alignment horizontal="right" vertical="center"/>
    </xf>
    <xf numFmtId="0" fontId="0" fillId="0" borderId="0" xfId="0" applyAlignment="1">
      <alignment horizontal="center" vertical="center"/>
    </xf>
    <xf numFmtId="0" fontId="2" fillId="0" borderId="0" xfId="0" applyFont="1" applyBorder="1" applyAlignment="1">
      <alignment horizontal="center" vertical="center"/>
    </xf>
    <xf numFmtId="0" fontId="2" fillId="0" borderId="0" xfId="0" applyFont="1" applyAlignment="1">
      <alignment horizontal="center"/>
    </xf>
    <xf numFmtId="0" fontId="3" fillId="0" borderId="0" xfId="0" applyFont="1" applyAlignment="1">
      <alignment horizontal="center" vertical="center"/>
    </xf>
    <xf numFmtId="0" fontId="3" fillId="0" borderId="0" xfId="0" applyFont="1" applyAlignment="1">
      <alignment horizontal="right" vertical="center"/>
    </xf>
    <xf numFmtId="0" fontId="0" fillId="0" borderId="0" xfId="0" applyAlignment="1">
      <alignment horizontal="right" vertical="center"/>
    </xf>
    <xf numFmtId="0" fontId="3" fillId="0" borderId="0" xfId="0" applyFont="1" applyAlignment="1">
      <alignment horizontal="left" vertical="center"/>
    </xf>
    <xf numFmtId="0" fontId="0" fillId="0" borderId="13" xfId="0" applyBorder="1" applyAlignment="1">
      <alignment horizontal="center" vertical="top"/>
    </xf>
    <xf numFmtId="0" fontId="0" fillId="0" borderId="15" xfId="0" applyBorder="1" applyAlignment="1">
      <alignment horizontal="center" vertical="top"/>
    </xf>
    <xf numFmtId="0" fontId="0" fillId="0" borderId="0" xfId="0" applyAlignment="1">
      <alignment horizontal="left" vertical="center"/>
    </xf>
    <xf numFmtId="0" fontId="2" fillId="0" borderId="0" xfId="0" applyFont="1" applyAlignment="1">
      <alignment horizontal="center" vertical="top"/>
    </xf>
    <xf numFmtId="0" fontId="11" fillId="0" borderId="0" xfId="0" applyFont="1" applyFill="1" applyBorder="1">
      <alignment vertical="center"/>
    </xf>
    <xf numFmtId="0" fontId="11" fillId="0" borderId="0" xfId="0" applyFont="1" applyFill="1">
      <alignment vertical="center"/>
    </xf>
    <xf numFmtId="0" fontId="0" fillId="0" borderId="1" xfId="0" applyBorder="1" applyAlignment="1">
      <alignment horizontal="right" vertical="center"/>
    </xf>
    <xf numFmtId="0" fontId="0" fillId="0" borderId="1" xfId="0" applyBorder="1" applyAlignment="1">
      <alignment horizontal="left" vertical="center"/>
    </xf>
    <xf numFmtId="0" fontId="2" fillId="0" borderId="0" xfId="0" applyFont="1" applyAlignment="1">
      <alignment horizontal="center" vertical="center"/>
    </xf>
    <xf numFmtId="0" fontId="19" fillId="0" borderId="0" xfId="0" applyFont="1" applyAlignment="1">
      <alignment horizontal="right" vertical="center"/>
    </xf>
    <xf numFmtId="0" fontId="11" fillId="0" borderId="0" xfId="0" applyFont="1" applyAlignment="1">
      <alignment horizontal="right" vertical="center"/>
    </xf>
    <xf numFmtId="0" fontId="3" fillId="0" borderId="0" xfId="0" applyFont="1" applyAlignment="1">
      <alignment horizontal="center" vertical="center"/>
    </xf>
    <xf numFmtId="0" fontId="0" fillId="0" borderId="0" xfId="0" applyAlignment="1">
      <alignment vertical="center"/>
    </xf>
    <xf numFmtId="0" fontId="3" fillId="0" borderId="0" xfId="0" applyFont="1" applyAlignment="1">
      <alignment horizontal="left" vertical="center"/>
    </xf>
    <xf numFmtId="0" fontId="0" fillId="0" borderId="0" xfId="0" applyAlignment="1">
      <alignment horizontal="left" vertical="center"/>
    </xf>
    <xf numFmtId="0" fontId="2" fillId="0" borderId="0" xfId="0" applyFont="1" applyAlignment="1">
      <alignment horizontal="center" vertical="center"/>
    </xf>
    <xf numFmtId="0" fontId="0" fillId="0" borderId="0" xfId="0" applyAlignment="1">
      <alignment horizontal="center" vertical="center"/>
    </xf>
    <xf numFmtId="0" fontId="11" fillId="0" borderId="0" xfId="0" applyFont="1" applyAlignment="1">
      <alignment horizontal="left" vertical="center"/>
    </xf>
    <xf numFmtId="0" fontId="2" fillId="0" borderId="32" xfId="0" applyFont="1" applyBorder="1" applyAlignment="1">
      <alignment horizontal="center" vertical="center"/>
    </xf>
    <xf numFmtId="0" fontId="2" fillId="0" borderId="33" xfId="0" applyFont="1" applyBorder="1" applyAlignment="1">
      <alignment horizontal="center" vertical="center"/>
    </xf>
    <xf numFmtId="0" fontId="2" fillId="0" borderId="34" xfId="0" applyFont="1" applyBorder="1" applyAlignment="1">
      <alignment horizontal="center" vertical="center"/>
    </xf>
    <xf numFmtId="0" fontId="18" fillId="0" borderId="0" xfId="0" applyFont="1" applyBorder="1" applyAlignment="1">
      <alignment horizontal="left"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0" xfId="0" applyFont="1" applyBorder="1" applyAlignment="1">
      <alignment horizontal="center" vertical="center"/>
    </xf>
    <xf numFmtId="0" fontId="2" fillId="0" borderId="0" xfId="0" applyFont="1" applyBorder="1" applyAlignment="1">
      <alignment horizontal="center" vertical="center"/>
    </xf>
    <xf numFmtId="0" fontId="3" fillId="0" borderId="0" xfId="0" applyFont="1" applyBorder="1" applyAlignment="1">
      <alignment horizontal="left" vertical="center"/>
    </xf>
    <xf numFmtId="0" fontId="0" fillId="0" borderId="21" xfId="0" applyBorder="1" applyAlignment="1">
      <alignment horizontal="center" vertical="center"/>
    </xf>
    <xf numFmtId="0" fontId="0" fillId="0" borderId="22" xfId="0" applyBorder="1" applyAlignment="1">
      <alignment vertical="center"/>
    </xf>
    <xf numFmtId="0" fontId="0" fillId="0" borderId="23" xfId="0" applyBorder="1" applyAlignment="1">
      <alignment vertical="center"/>
    </xf>
    <xf numFmtId="0" fontId="9" fillId="0" borderId="0" xfId="1" applyAlignment="1">
      <alignment vertical="center"/>
    </xf>
    <xf numFmtId="0" fontId="2" fillId="0" borderId="14" xfId="0" applyFont="1" applyBorder="1" applyAlignment="1">
      <alignment horizontal="center" vertical="center"/>
    </xf>
    <xf numFmtId="0" fontId="0" fillId="0" borderId="14" xfId="0" applyBorder="1" applyAlignment="1">
      <alignment vertical="center"/>
    </xf>
    <xf numFmtId="0" fontId="9" fillId="0" borderId="0" xfId="1" applyAlignment="1">
      <alignment horizontal="center" vertical="center"/>
    </xf>
    <xf numFmtId="0" fontId="29" fillId="0" borderId="0" xfId="0" applyFont="1" applyAlignment="1">
      <alignment horizontal="center" vertical="center"/>
    </xf>
    <xf numFmtId="0" fontId="2" fillId="0" borderId="0" xfId="0" applyFont="1" applyAlignment="1">
      <alignment horizontal="center"/>
    </xf>
    <xf numFmtId="0" fontId="9" fillId="21" borderId="43" xfId="1" applyFill="1" applyBorder="1" applyAlignment="1">
      <alignment horizontal="center" vertical="center" wrapText="1"/>
    </xf>
    <xf numFmtId="0" fontId="9" fillId="21" borderId="44" xfId="1" applyFill="1" applyBorder="1" applyAlignment="1">
      <alignment horizontal="center" vertical="center" wrapText="1"/>
    </xf>
    <xf numFmtId="0" fontId="9" fillId="21" borderId="45" xfId="1" applyFill="1" applyBorder="1" applyAlignment="1">
      <alignment horizontal="center" vertical="center" wrapText="1"/>
    </xf>
    <xf numFmtId="0" fontId="22" fillId="0" borderId="40" xfId="0" applyFont="1" applyBorder="1" applyAlignment="1">
      <alignment horizontal="center" vertical="center"/>
    </xf>
    <xf numFmtId="0" fontId="0" fillId="0" borderId="40" xfId="0" applyBorder="1">
      <alignment vertical="center"/>
    </xf>
    <xf numFmtId="0" fontId="6" fillId="0" borderId="5" xfId="0" applyFont="1" applyBorder="1" applyAlignment="1">
      <alignment vertical="center" wrapText="1"/>
    </xf>
    <xf numFmtId="0" fontId="6" fillId="0" borderId="7" xfId="0" applyFont="1" applyBorder="1" applyAlignment="1">
      <alignment vertical="center" wrapText="1"/>
    </xf>
    <xf numFmtId="0" fontId="6" fillId="0" borderId="6" xfId="0" applyFont="1" applyBorder="1" applyAlignment="1">
      <alignment vertical="center" wrapText="1"/>
    </xf>
    <xf numFmtId="0" fontId="6" fillId="5" borderId="5" xfId="0" applyFont="1" applyFill="1" applyBorder="1" applyAlignment="1">
      <alignment vertical="center" wrapText="1"/>
    </xf>
    <xf numFmtId="0" fontId="6" fillId="5" borderId="7" xfId="0" applyFont="1" applyFill="1" applyBorder="1" applyAlignment="1">
      <alignment vertical="center" wrapText="1"/>
    </xf>
    <xf numFmtId="0" fontId="6" fillId="5" borderId="6" xfId="0" applyFont="1" applyFill="1" applyBorder="1" applyAlignment="1">
      <alignment vertical="center" wrapText="1"/>
    </xf>
    <xf numFmtId="0" fontId="0" fillId="17" borderId="28" xfId="0" applyFill="1" applyBorder="1" applyAlignment="1">
      <alignment vertical="center" wrapText="1"/>
    </xf>
    <xf numFmtId="0" fontId="0" fillId="17" borderId="29" xfId="0" applyFill="1" applyBorder="1" applyAlignment="1">
      <alignment vertical="center" wrapText="1"/>
    </xf>
    <xf numFmtId="0" fontId="0" fillId="17" borderId="30" xfId="0" applyFill="1" applyBorder="1" applyAlignment="1">
      <alignment vertical="center" wrapText="1"/>
    </xf>
    <xf numFmtId="0" fontId="0" fillId="18" borderId="28" xfId="0" applyFill="1" applyBorder="1" applyAlignment="1">
      <alignment vertical="center" wrapText="1"/>
    </xf>
    <xf numFmtId="0" fontId="0" fillId="18" borderId="29" xfId="0" applyFill="1" applyBorder="1" applyAlignment="1">
      <alignment vertical="center" wrapText="1"/>
    </xf>
    <xf numFmtId="0" fontId="0" fillId="18" borderId="30" xfId="0" applyFill="1" applyBorder="1" applyAlignment="1">
      <alignment vertical="center" wrapText="1"/>
    </xf>
    <xf numFmtId="0" fontId="0" fillId="19" borderId="28" xfId="0" applyFill="1" applyBorder="1" applyAlignment="1">
      <alignment vertical="center" wrapText="1"/>
    </xf>
    <xf numFmtId="0" fontId="0" fillId="19" borderId="29" xfId="0" applyFill="1" applyBorder="1" applyAlignment="1">
      <alignment vertical="center" wrapText="1"/>
    </xf>
    <xf numFmtId="0" fontId="0" fillId="19" borderId="30" xfId="0" applyFill="1" applyBorder="1" applyAlignment="1">
      <alignment vertical="center" wrapText="1"/>
    </xf>
    <xf numFmtId="0" fontId="0" fillId="20" borderId="28" xfId="0" applyFill="1" applyBorder="1" applyAlignment="1">
      <alignment vertical="center" wrapText="1"/>
    </xf>
    <xf numFmtId="0" fontId="0" fillId="20" borderId="29" xfId="0" applyFill="1" applyBorder="1" applyAlignment="1">
      <alignment vertical="center" wrapText="1"/>
    </xf>
    <xf numFmtId="0" fontId="0" fillId="20" borderId="30" xfId="0" applyFill="1" applyBorder="1" applyAlignment="1">
      <alignment vertical="center" wrapText="1"/>
    </xf>
    <xf numFmtId="0" fontId="0" fillId="9" borderId="25" xfId="0" applyFill="1" applyBorder="1" applyAlignment="1">
      <alignment horizontal="center" vertical="center" wrapText="1"/>
    </xf>
    <xf numFmtId="0" fontId="0" fillId="9" borderId="26" xfId="0" applyFill="1" applyBorder="1" applyAlignment="1">
      <alignment horizontal="center" vertical="center" wrapText="1"/>
    </xf>
    <xf numFmtId="0" fontId="0" fillId="9" borderId="27" xfId="0" applyFill="1" applyBorder="1" applyAlignment="1">
      <alignment horizontal="center" vertical="center" wrapText="1"/>
    </xf>
    <xf numFmtId="0" fontId="0" fillId="12" borderId="28" xfId="0" applyFill="1" applyBorder="1" applyAlignment="1">
      <alignment vertical="center" wrapText="1"/>
    </xf>
    <xf numFmtId="0" fontId="0" fillId="12" borderId="29" xfId="0" applyFill="1" applyBorder="1" applyAlignment="1">
      <alignment vertical="center" wrapText="1"/>
    </xf>
    <xf numFmtId="0" fontId="0" fillId="12" borderId="30" xfId="0" applyFill="1" applyBorder="1" applyAlignment="1">
      <alignment vertical="center" wrapText="1"/>
    </xf>
    <xf numFmtId="0" fontId="0" fillId="13" borderId="28" xfId="0" applyFill="1" applyBorder="1" applyAlignment="1">
      <alignment vertical="center" wrapText="1"/>
    </xf>
    <xf numFmtId="0" fontId="0" fillId="13" borderId="29" xfId="0" applyFill="1" applyBorder="1" applyAlignment="1">
      <alignment vertical="center" wrapText="1"/>
    </xf>
    <xf numFmtId="0" fontId="0" fillId="13" borderId="30" xfId="0" applyFill="1" applyBorder="1" applyAlignment="1">
      <alignment vertical="center" wrapText="1"/>
    </xf>
    <xf numFmtId="0" fontId="0" fillId="14" borderId="28" xfId="0" applyFill="1" applyBorder="1" applyAlignment="1">
      <alignment vertical="center" wrapText="1"/>
    </xf>
    <xf numFmtId="0" fontId="0" fillId="14" borderId="29" xfId="0" applyFill="1" applyBorder="1" applyAlignment="1">
      <alignment vertical="center" wrapText="1"/>
    </xf>
    <xf numFmtId="0" fontId="0" fillId="14" borderId="30" xfId="0" applyFill="1" applyBorder="1" applyAlignment="1">
      <alignment vertical="center" wrapText="1"/>
    </xf>
    <xf numFmtId="0" fontId="0" fillId="15" borderId="28" xfId="0" applyFill="1" applyBorder="1" applyAlignment="1">
      <alignment vertical="center" wrapText="1"/>
    </xf>
    <xf numFmtId="0" fontId="0" fillId="15" borderId="29" xfId="0" applyFill="1" applyBorder="1" applyAlignment="1">
      <alignment vertical="center" wrapText="1"/>
    </xf>
    <xf numFmtId="0" fontId="0" fillId="15" borderId="30" xfId="0" applyFill="1" applyBorder="1" applyAlignment="1">
      <alignment vertical="center" wrapText="1"/>
    </xf>
    <xf numFmtId="0" fontId="0" fillId="16" borderId="28" xfId="0" applyFill="1" applyBorder="1" applyAlignment="1">
      <alignment vertical="center" wrapText="1"/>
    </xf>
    <xf numFmtId="0" fontId="0" fillId="16" borderId="29" xfId="0" applyFill="1" applyBorder="1" applyAlignment="1">
      <alignment vertical="center" wrapText="1"/>
    </xf>
    <xf numFmtId="0" fontId="0" fillId="16" borderId="30" xfId="0" applyFill="1" applyBorder="1" applyAlignment="1">
      <alignment vertical="center" wrapText="1"/>
    </xf>
    <xf numFmtId="2" fontId="0" fillId="0" borderId="0" xfId="0" applyNumberFormat="1" applyAlignment="1">
      <alignment horizontal="center" vertical="center"/>
    </xf>
    <xf numFmtId="2" fontId="0" fillId="0" borderId="0" xfId="0" applyNumberFormat="1">
      <alignment vertical="center"/>
    </xf>
    <xf numFmtId="2" fontId="0" fillId="0" borderId="0" xfId="0" applyNumberFormat="1" applyFont="1" applyBorder="1" applyAlignment="1">
      <alignment horizontal="right" vertical="center"/>
    </xf>
    <xf numFmtId="0" fontId="29" fillId="0" borderId="0" xfId="0" applyFont="1" applyAlignment="1">
      <alignment horizontal="centerContinuous" vertical="center"/>
    </xf>
  </cellXfs>
  <cellStyles count="2">
    <cellStyle name="ハイパーリンク" xfId="1" builtinId="8"/>
    <cellStyle name="標準"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2.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3" Type="http://schemas.openxmlformats.org/officeDocument/2006/relationships/image" Target="../media/image5.gif"/><Relationship Id="rId2" Type="http://schemas.openxmlformats.org/officeDocument/2006/relationships/image" Target="../media/image4.jpeg"/><Relationship Id="rId1" Type="http://schemas.openxmlformats.org/officeDocument/2006/relationships/image" Target="../media/image3.jpeg"/><Relationship Id="rId6" Type="http://schemas.openxmlformats.org/officeDocument/2006/relationships/image" Target="../media/image8.gif"/><Relationship Id="rId5" Type="http://schemas.openxmlformats.org/officeDocument/2006/relationships/image" Target="../media/image7.gif"/><Relationship Id="rId4" Type="http://schemas.openxmlformats.org/officeDocument/2006/relationships/image" Target="../media/image6.gif"/></Relationships>
</file>

<file path=xl/drawings/_rels/drawing4.xml.rels><?xml version="1.0" encoding="UTF-8" standalone="yes"?>
<Relationships xmlns="http://schemas.openxmlformats.org/package/2006/relationships"><Relationship Id="rId1" Type="http://schemas.openxmlformats.org/officeDocument/2006/relationships/image" Target="../media/image9.jpeg"/></Relationships>
</file>

<file path=xl/drawings/_rels/drawing5.xml.rels><?xml version="1.0" encoding="UTF-8" standalone="yes"?>
<Relationships xmlns="http://schemas.openxmlformats.org/package/2006/relationships"><Relationship Id="rId2" Type="http://schemas.openxmlformats.org/officeDocument/2006/relationships/image" Target="../media/image11.jpg"/><Relationship Id="rId1" Type="http://schemas.openxmlformats.org/officeDocument/2006/relationships/image" Target="../media/image10.jpg"/></Relationships>
</file>

<file path=xl/drawings/drawing1.xml><?xml version="1.0" encoding="utf-8"?>
<xdr:wsDr xmlns:xdr="http://schemas.openxmlformats.org/drawingml/2006/spreadsheetDrawing" xmlns:a="http://schemas.openxmlformats.org/drawingml/2006/main">
  <xdr:twoCellAnchor>
    <xdr:from>
      <xdr:col>13</xdr:col>
      <xdr:colOff>0</xdr:colOff>
      <xdr:row>8</xdr:row>
      <xdr:rowOff>19050</xdr:rowOff>
    </xdr:from>
    <xdr:to>
      <xdr:col>16</xdr:col>
      <xdr:colOff>0</xdr:colOff>
      <xdr:row>18</xdr:row>
      <xdr:rowOff>9525</xdr:rowOff>
    </xdr:to>
    <xdr:sp macro="" textlink="">
      <xdr:nvSpPr>
        <xdr:cNvPr id="3" name="直角三角形 2"/>
        <xdr:cNvSpPr/>
      </xdr:nvSpPr>
      <xdr:spPr>
        <a:xfrm flipH="1">
          <a:off x="5534025" y="190500"/>
          <a:ext cx="2057400" cy="1914525"/>
        </a:xfrm>
        <a:prstGeom prst="rtTriangle">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13</xdr:col>
      <xdr:colOff>323851</xdr:colOff>
      <xdr:row>16</xdr:row>
      <xdr:rowOff>104775</xdr:rowOff>
    </xdr:from>
    <xdr:to>
      <xdr:col>13</xdr:col>
      <xdr:colOff>609601</xdr:colOff>
      <xdr:row>18</xdr:row>
      <xdr:rowOff>9524</xdr:rowOff>
    </xdr:to>
    <xdr:sp macro="" textlink="">
      <xdr:nvSpPr>
        <xdr:cNvPr id="2" name="テキスト ボックス 1"/>
        <xdr:cNvSpPr txBox="1"/>
      </xdr:nvSpPr>
      <xdr:spPr>
        <a:xfrm>
          <a:off x="5857876" y="1809750"/>
          <a:ext cx="285750" cy="2952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1600"/>
            <a:t>θ</a:t>
          </a:r>
          <a:endParaRPr kumimoji="1" lang="ja-JP" altLang="en-US" sz="1600"/>
        </a:p>
      </xdr:txBody>
    </xdr:sp>
    <xdr:clientData/>
  </xdr:twoCellAnchor>
  <xdr:twoCellAnchor>
    <xdr:from>
      <xdr:col>10</xdr:col>
      <xdr:colOff>676275</xdr:colOff>
      <xdr:row>12</xdr:row>
      <xdr:rowOff>85725</xdr:rowOff>
    </xdr:from>
    <xdr:to>
      <xdr:col>11</xdr:col>
      <xdr:colOff>676275</xdr:colOff>
      <xdr:row>12</xdr:row>
      <xdr:rowOff>85725</xdr:rowOff>
    </xdr:to>
    <xdr:cxnSp macro="">
      <xdr:nvCxnSpPr>
        <xdr:cNvPr id="5" name="直線コネクタ 4"/>
        <xdr:cNvCxnSpPr/>
      </xdr:nvCxnSpPr>
      <xdr:spPr>
        <a:xfrm>
          <a:off x="6705600" y="2324100"/>
          <a:ext cx="68580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676275</xdr:colOff>
      <xdr:row>16</xdr:row>
      <xdr:rowOff>123825</xdr:rowOff>
    </xdr:from>
    <xdr:to>
      <xdr:col>12</xdr:col>
      <xdr:colOff>0</xdr:colOff>
      <xdr:row>16</xdr:row>
      <xdr:rowOff>123827</xdr:rowOff>
    </xdr:to>
    <xdr:cxnSp macro="">
      <xdr:nvCxnSpPr>
        <xdr:cNvPr id="7" name="直線コネクタ 6"/>
        <xdr:cNvCxnSpPr/>
      </xdr:nvCxnSpPr>
      <xdr:spPr>
        <a:xfrm flipV="1">
          <a:off x="6705600" y="3209925"/>
          <a:ext cx="695325" cy="2"/>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0</xdr:colOff>
      <xdr:row>8</xdr:row>
      <xdr:rowOff>114300</xdr:rowOff>
    </xdr:from>
    <xdr:to>
      <xdr:col>12</xdr:col>
      <xdr:colOff>0</xdr:colOff>
      <xdr:row>8</xdr:row>
      <xdr:rowOff>114300</xdr:rowOff>
    </xdr:to>
    <xdr:cxnSp macro="">
      <xdr:nvCxnSpPr>
        <xdr:cNvPr id="9" name="直線コネクタ 8"/>
        <xdr:cNvCxnSpPr/>
      </xdr:nvCxnSpPr>
      <xdr:spPr>
        <a:xfrm>
          <a:off x="6715125" y="1590675"/>
          <a:ext cx="68580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0</xdr:colOff>
      <xdr:row>55</xdr:row>
      <xdr:rowOff>104775</xdr:rowOff>
    </xdr:from>
    <xdr:to>
      <xdr:col>12</xdr:col>
      <xdr:colOff>0</xdr:colOff>
      <xdr:row>55</xdr:row>
      <xdr:rowOff>104775</xdr:rowOff>
    </xdr:to>
    <xdr:cxnSp macro="">
      <xdr:nvCxnSpPr>
        <xdr:cNvPr id="6" name="直線コネクタ 5"/>
        <xdr:cNvCxnSpPr/>
      </xdr:nvCxnSpPr>
      <xdr:spPr>
        <a:xfrm>
          <a:off x="6715125" y="8077200"/>
          <a:ext cx="68580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13</xdr:col>
      <xdr:colOff>0</xdr:colOff>
      <xdr:row>27</xdr:row>
      <xdr:rowOff>19050</xdr:rowOff>
    </xdr:from>
    <xdr:to>
      <xdr:col>16</xdr:col>
      <xdr:colOff>0</xdr:colOff>
      <xdr:row>37</xdr:row>
      <xdr:rowOff>9525</xdr:rowOff>
    </xdr:to>
    <xdr:sp macro="" textlink="">
      <xdr:nvSpPr>
        <xdr:cNvPr id="12" name="直角三角形 11"/>
        <xdr:cNvSpPr/>
      </xdr:nvSpPr>
      <xdr:spPr>
        <a:xfrm flipH="1">
          <a:off x="8086725" y="2209800"/>
          <a:ext cx="2286000" cy="2000250"/>
        </a:xfrm>
        <a:prstGeom prst="rtTriangle">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13</xdr:col>
      <xdr:colOff>323851</xdr:colOff>
      <xdr:row>35</xdr:row>
      <xdr:rowOff>104775</xdr:rowOff>
    </xdr:from>
    <xdr:to>
      <xdr:col>13</xdr:col>
      <xdr:colOff>609601</xdr:colOff>
      <xdr:row>37</xdr:row>
      <xdr:rowOff>9524</xdr:rowOff>
    </xdr:to>
    <xdr:sp macro="" textlink="">
      <xdr:nvSpPr>
        <xdr:cNvPr id="13" name="テキスト ボックス 12"/>
        <xdr:cNvSpPr txBox="1"/>
      </xdr:nvSpPr>
      <xdr:spPr>
        <a:xfrm>
          <a:off x="8410576" y="3895725"/>
          <a:ext cx="285750" cy="31432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1600"/>
            <a:t>θ</a:t>
          </a:r>
          <a:endParaRPr kumimoji="1" lang="ja-JP" altLang="en-US" sz="1600"/>
        </a:p>
      </xdr:txBody>
    </xdr:sp>
    <xdr:clientData/>
  </xdr:twoCellAnchor>
  <xdr:twoCellAnchor>
    <xdr:from>
      <xdr:col>13</xdr:col>
      <xdr:colOff>0</xdr:colOff>
      <xdr:row>50</xdr:row>
      <xdr:rowOff>19050</xdr:rowOff>
    </xdr:from>
    <xdr:to>
      <xdr:col>16</xdr:col>
      <xdr:colOff>0</xdr:colOff>
      <xdr:row>60</xdr:row>
      <xdr:rowOff>9525</xdr:rowOff>
    </xdr:to>
    <xdr:sp macro="" textlink="">
      <xdr:nvSpPr>
        <xdr:cNvPr id="17" name="直角三角形 16"/>
        <xdr:cNvSpPr/>
      </xdr:nvSpPr>
      <xdr:spPr>
        <a:xfrm flipH="1">
          <a:off x="8086725" y="5124450"/>
          <a:ext cx="2286000" cy="2000250"/>
        </a:xfrm>
        <a:prstGeom prst="rtTriangle">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13</xdr:col>
      <xdr:colOff>323851</xdr:colOff>
      <xdr:row>58</xdr:row>
      <xdr:rowOff>104775</xdr:rowOff>
    </xdr:from>
    <xdr:to>
      <xdr:col>13</xdr:col>
      <xdr:colOff>609601</xdr:colOff>
      <xdr:row>60</xdr:row>
      <xdr:rowOff>9524</xdr:rowOff>
    </xdr:to>
    <xdr:sp macro="" textlink="">
      <xdr:nvSpPr>
        <xdr:cNvPr id="18" name="テキスト ボックス 17"/>
        <xdr:cNvSpPr txBox="1"/>
      </xdr:nvSpPr>
      <xdr:spPr>
        <a:xfrm>
          <a:off x="8410576" y="6810375"/>
          <a:ext cx="285750" cy="31432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1600"/>
            <a:t>θ</a:t>
          </a:r>
          <a:endParaRPr kumimoji="1" lang="ja-JP" altLang="en-US" sz="16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390525</xdr:colOff>
      <xdr:row>12</xdr:row>
      <xdr:rowOff>9525</xdr:rowOff>
    </xdr:from>
    <xdr:to>
      <xdr:col>9</xdr:col>
      <xdr:colOff>495300</xdr:colOff>
      <xdr:row>21</xdr:row>
      <xdr:rowOff>190500</xdr:rowOff>
    </xdr:to>
    <xdr:pic>
      <xdr:nvPicPr>
        <xdr:cNvPr id="3" name="図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90525" y="1695450"/>
          <a:ext cx="4286250" cy="2009775"/>
        </a:xfrm>
        <a:prstGeom prst="rect">
          <a:avLst/>
        </a:prstGeom>
      </xdr:spPr>
    </xdr:pic>
    <xdr:clientData/>
  </xdr:twoCellAnchor>
  <xdr:twoCellAnchor editAs="oneCell">
    <xdr:from>
      <xdr:col>10</xdr:col>
      <xdr:colOff>38100</xdr:colOff>
      <xdr:row>4</xdr:row>
      <xdr:rowOff>19050</xdr:rowOff>
    </xdr:from>
    <xdr:to>
      <xdr:col>15</xdr:col>
      <xdr:colOff>171450</xdr:colOff>
      <xdr:row>10</xdr:row>
      <xdr:rowOff>207645</xdr:rowOff>
    </xdr:to>
    <xdr:pic>
      <xdr:nvPicPr>
        <xdr:cNvPr id="2" name="図 1"/>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905375" y="1123950"/>
          <a:ext cx="3857625" cy="147447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11</xdr:row>
      <xdr:rowOff>1</xdr:rowOff>
    </xdr:from>
    <xdr:to>
      <xdr:col>5</xdr:col>
      <xdr:colOff>1400175</xdr:colOff>
      <xdr:row>27</xdr:row>
      <xdr:rowOff>4183</xdr:rowOff>
    </xdr:to>
    <xdr:pic>
      <xdr:nvPicPr>
        <xdr:cNvPr id="5" name="図 4" descr="２進数の足し算.jpg"/>
        <xdr:cNvPicPr>
          <a:picLocks noChangeAspect="1"/>
        </xdr:cNvPicPr>
      </xdr:nvPicPr>
      <xdr:blipFill>
        <a:blip xmlns:r="http://schemas.openxmlformats.org/officeDocument/2006/relationships" r:embed="rId1" cstate="print"/>
        <a:stretch>
          <a:fillRect/>
        </a:stretch>
      </xdr:blipFill>
      <xdr:spPr>
        <a:xfrm>
          <a:off x="200025" y="1952626"/>
          <a:ext cx="4791075" cy="2747382"/>
        </a:xfrm>
        <a:prstGeom prst="rect">
          <a:avLst/>
        </a:prstGeom>
      </xdr:spPr>
    </xdr:pic>
    <xdr:clientData/>
  </xdr:twoCellAnchor>
  <xdr:twoCellAnchor editAs="oneCell">
    <xdr:from>
      <xdr:col>1</xdr:col>
      <xdr:colOff>0</xdr:colOff>
      <xdr:row>28</xdr:row>
      <xdr:rowOff>0</xdr:rowOff>
    </xdr:from>
    <xdr:to>
      <xdr:col>14</xdr:col>
      <xdr:colOff>619125</xdr:colOff>
      <xdr:row>62</xdr:row>
      <xdr:rowOff>152400</xdr:rowOff>
    </xdr:to>
    <xdr:pic>
      <xdr:nvPicPr>
        <xdr:cNvPr id="2" name="図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00025" y="4867275"/>
          <a:ext cx="9525000" cy="6153150"/>
        </a:xfrm>
        <a:prstGeom prst="rect">
          <a:avLst/>
        </a:prstGeom>
      </xdr:spPr>
    </xdr:pic>
    <xdr:clientData/>
  </xdr:twoCellAnchor>
  <xdr:twoCellAnchor editAs="oneCell">
    <xdr:from>
      <xdr:col>10</xdr:col>
      <xdr:colOff>0</xdr:colOff>
      <xdr:row>11</xdr:row>
      <xdr:rowOff>0</xdr:rowOff>
    </xdr:from>
    <xdr:to>
      <xdr:col>14</xdr:col>
      <xdr:colOff>247650</xdr:colOff>
      <xdr:row>26</xdr:row>
      <xdr:rowOff>57150</xdr:rowOff>
    </xdr:to>
    <xdr:pic>
      <xdr:nvPicPr>
        <xdr:cNvPr id="6" name="図 5" descr="10進数から2進数への変換イメージ"/>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00025" y="12658725"/>
          <a:ext cx="3171825" cy="26289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74</xdr:row>
      <xdr:rowOff>0</xdr:rowOff>
    </xdr:from>
    <xdr:to>
      <xdr:col>3</xdr:col>
      <xdr:colOff>1552575</xdr:colOff>
      <xdr:row>89</xdr:row>
      <xdr:rowOff>57150</xdr:rowOff>
    </xdr:to>
    <xdr:pic>
      <xdr:nvPicPr>
        <xdr:cNvPr id="7" name="図 6" descr="10進数から16進数への変換イメージ"/>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00025" y="16259175"/>
          <a:ext cx="3171825" cy="26289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95</xdr:row>
      <xdr:rowOff>0</xdr:rowOff>
    </xdr:from>
    <xdr:to>
      <xdr:col>5</xdr:col>
      <xdr:colOff>0</xdr:colOff>
      <xdr:row>101</xdr:row>
      <xdr:rowOff>57150</xdr:rowOff>
    </xdr:to>
    <xdr:pic>
      <xdr:nvPicPr>
        <xdr:cNvPr id="8" name="図 7" descr="基本情報技術者講座 n進数を10進数に変換するうえでの各けたの重み付けの方法"/>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200025" y="19888200"/>
          <a:ext cx="3390900" cy="10858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109</xdr:row>
      <xdr:rowOff>0</xdr:rowOff>
    </xdr:from>
    <xdr:to>
      <xdr:col>5</xdr:col>
      <xdr:colOff>66675</xdr:colOff>
      <xdr:row>112</xdr:row>
      <xdr:rowOff>161925</xdr:rowOff>
    </xdr:to>
    <xdr:pic>
      <xdr:nvPicPr>
        <xdr:cNvPr id="9" name="図 8" descr="基本情報技術者講座 2進数の111100.101を10進数に変換する"/>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200025" y="22326600"/>
          <a:ext cx="3457575" cy="6762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676275</xdr:colOff>
      <xdr:row>11</xdr:row>
      <xdr:rowOff>0</xdr:rowOff>
    </xdr:from>
    <xdr:to>
      <xdr:col>8</xdr:col>
      <xdr:colOff>647700</xdr:colOff>
      <xdr:row>15</xdr:row>
      <xdr:rowOff>0</xdr:rowOff>
    </xdr:to>
    <xdr:pic>
      <xdr:nvPicPr>
        <xdr:cNvPr id="2" name="図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62075" y="1933575"/>
          <a:ext cx="2857500" cy="685800"/>
        </a:xfrm>
        <a:prstGeom prst="rect">
          <a:avLst/>
        </a:prstGeom>
      </xdr:spPr>
    </xdr:pic>
    <xdr:clientData/>
  </xdr:twoCellAnchor>
  <xdr:twoCellAnchor>
    <xdr:from>
      <xdr:col>3</xdr:col>
      <xdr:colOff>600075</xdr:colOff>
      <xdr:row>3</xdr:row>
      <xdr:rowOff>95250</xdr:rowOff>
    </xdr:from>
    <xdr:to>
      <xdr:col>3</xdr:col>
      <xdr:colOff>600075</xdr:colOff>
      <xdr:row>11</xdr:row>
      <xdr:rowOff>9525</xdr:rowOff>
    </xdr:to>
    <xdr:cxnSp macro="">
      <xdr:nvCxnSpPr>
        <xdr:cNvPr id="6" name="直線矢印コネクタ 5"/>
        <xdr:cNvCxnSpPr/>
      </xdr:nvCxnSpPr>
      <xdr:spPr>
        <a:xfrm>
          <a:off x="2209800" y="657225"/>
          <a:ext cx="0" cy="1285875"/>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790575</xdr:colOff>
      <xdr:row>4</xdr:row>
      <xdr:rowOff>114300</xdr:rowOff>
    </xdr:from>
    <xdr:to>
      <xdr:col>3</xdr:col>
      <xdr:colOff>790575</xdr:colOff>
      <xdr:row>11</xdr:row>
      <xdr:rowOff>9525</xdr:rowOff>
    </xdr:to>
    <xdr:cxnSp macro="">
      <xdr:nvCxnSpPr>
        <xdr:cNvPr id="7" name="直線矢印コネクタ 6"/>
        <xdr:cNvCxnSpPr/>
      </xdr:nvCxnSpPr>
      <xdr:spPr>
        <a:xfrm>
          <a:off x="2400300" y="847725"/>
          <a:ext cx="0" cy="1095375"/>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57150</xdr:colOff>
      <xdr:row>5</xdr:row>
      <xdr:rowOff>104775</xdr:rowOff>
    </xdr:from>
    <xdr:to>
      <xdr:col>5</xdr:col>
      <xdr:colOff>57150</xdr:colOff>
      <xdr:row>11</xdr:row>
      <xdr:rowOff>9525</xdr:rowOff>
    </xdr:to>
    <xdr:cxnSp macro="">
      <xdr:nvCxnSpPr>
        <xdr:cNvPr id="8" name="直線矢印コネクタ 7"/>
        <xdr:cNvCxnSpPr/>
      </xdr:nvCxnSpPr>
      <xdr:spPr>
        <a:xfrm>
          <a:off x="2590800" y="1009650"/>
          <a:ext cx="0" cy="9334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257175</xdr:colOff>
      <xdr:row>6</xdr:row>
      <xdr:rowOff>95250</xdr:rowOff>
    </xdr:from>
    <xdr:to>
      <xdr:col>5</xdr:col>
      <xdr:colOff>257175</xdr:colOff>
      <xdr:row>11</xdr:row>
      <xdr:rowOff>9525</xdr:rowOff>
    </xdr:to>
    <xdr:cxnSp macro="">
      <xdr:nvCxnSpPr>
        <xdr:cNvPr id="9" name="直線矢印コネクタ 8"/>
        <xdr:cNvCxnSpPr/>
      </xdr:nvCxnSpPr>
      <xdr:spPr>
        <a:xfrm>
          <a:off x="2790825" y="1171575"/>
          <a:ext cx="0" cy="771525"/>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790575</xdr:colOff>
      <xdr:row>4</xdr:row>
      <xdr:rowOff>123825</xdr:rowOff>
    </xdr:from>
    <xdr:to>
      <xdr:col>5</xdr:col>
      <xdr:colOff>200025</xdr:colOff>
      <xdr:row>4</xdr:row>
      <xdr:rowOff>123825</xdr:rowOff>
    </xdr:to>
    <xdr:cxnSp macro="">
      <xdr:nvCxnSpPr>
        <xdr:cNvPr id="13" name="直線コネクタ 12"/>
        <xdr:cNvCxnSpPr/>
      </xdr:nvCxnSpPr>
      <xdr:spPr>
        <a:xfrm>
          <a:off x="2400300" y="857250"/>
          <a:ext cx="333375"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57150</xdr:colOff>
      <xdr:row>5</xdr:row>
      <xdr:rowOff>95250</xdr:rowOff>
    </xdr:from>
    <xdr:to>
      <xdr:col>5</xdr:col>
      <xdr:colOff>276225</xdr:colOff>
      <xdr:row>5</xdr:row>
      <xdr:rowOff>95251</xdr:rowOff>
    </xdr:to>
    <xdr:cxnSp macro="">
      <xdr:nvCxnSpPr>
        <xdr:cNvPr id="14" name="直線コネクタ 13"/>
        <xdr:cNvCxnSpPr/>
      </xdr:nvCxnSpPr>
      <xdr:spPr>
        <a:xfrm>
          <a:off x="2590800" y="1000125"/>
          <a:ext cx="219075" cy="1"/>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257175</xdr:colOff>
      <xdr:row>6</xdr:row>
      <xdr:rowOff>95250</xdr:rowOff>
    </xdr:from>
    <xdr:to>
      <xdr:col>6</xdr:col>
      <xdr:colOff>0</xdr:colOff>
      <xdr:row>6</xdr:row>
      <xdr:rowOff>95250</xdr:rowOff>
    </xdr:to>
    <xdr:cxnSp macro="">
      <xdr:nvCxnSpPr>
        <xdr:cNvPr id="15" name="直線コネクタ 14"/>
        <xdr:cNvCxnSpPr/>
      </xdr:nvCxnSpPr>
      <xdr:spPr>
        <a:xfrm>
          <a:off x="2790825" y="1171575"/>
          <a:ext cx="552450"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600075</xdr:colOff>
      <xdr:row>3</xdr:row>
      <xdr:rowOff>95250</xdr:rowOff>
    </xdr:from>
    <xdr:to>
      <xdr:col>4</xdr:col>
      <xdr:colOff>0</xdr:colOff>
      <xdr:row>3</xdr:row>
      <xdr:rowOff>95250</xdr:rowOff>
    </xdr:to>
    <xdr:cxnSp macro="">
      <xdr:nvCxnSpPr>
        <xdr:cNvPr id="34" name="直線コネクタ 33"/>
        <xdr:cNvCxnSpPr/>
      </xdr:nvCxnSpPr>
      <xdr:spPr>
        <a:xfrm>
          <a:off x="2209800" y="657225"/>
          <a:ext cx="209550"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676275</xdr:colOff>
      <xdr:row>4</xdr:row>
      <xdr:rowOff>171450</xdr:rowOff>
    </xdr:from>
    <xdr:to>
      <xdr:col>5</xdr:col>
      <xdr:colOff>414600</xdr:colOff>
      <xdr:row>8</xdr:row>
      <xdr:rowOff>66675</xdr:rowOff>
    </xdr:to>
    <xdr:pic>
      <xdr:nvPicPr>
        <xdr:cNvPr id="2" name="図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76275" y="876300"/>
          <a:ext cx="2900625" cy="619125"/>
        </a:xfrm>
        <a:prstGeom prst="rect">
          <a:avLst/>
        </a:prstGeom>
      </xdr:spPr>
    </xdr:pic>
    <xdr:clientData/>
  </xdr:twoCellAnchor>
  <xdr:twoCellAnchor editAs="oneCell">
    <xdr:from>
      <xdr:col>8</xdr:col>
      <xdr:colOff>9525</xdr:colOff>
      <xdr:row>13</xdr:row>
      <xdr:rowOff>28574</xdr:rowOff>
    </xdr:from>
    <xdr:to>
      <xdr:col>17</xdr:col>
      <xdr:colOff>425265</xdr:colOff>
      <xdr:row>39</xdr:row>
      <xdr:rowOff>3174</xdr:rowOff>
    </xdr:to>
    <xdr:pic>
      <xdr:nvPicPr>
        <xdr:cNvPr id="3" name="図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219700" y="2333624"/>
          <a:ext cx="6692715" cy="459422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9992;&#32025;&#12469;&#12452;&#12474;&#25563;&#31639;&#349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計算表"/>
      <sheetName val="data_dpi"/>
      <sheetName val="data_pixel"/>
    </sheetNames>
    <sheetDataSet>
      <sheetData sheetId="0"/>
      <sheetData sheetId="1">
        <row r="1">
          <cell r="A1">
            <v>200</v>
          </cell>
        </row>
        <row r="2">
          <cell r="A2">
            <v>300</v>
          </cell>
        </row>
        <row r="3">
          <cell r="A3">
            <v>350</v>
          </cell>
        </row>
        <row r="4">
          <cell r="A4">
            <v>400</v>
          </cell>
        </row>
        <row r="5">
          <cell r="A5">
            <v>450</v>
          </cell>
        </row>
        <row r="6">
          <cell r="A6">
            <v>500</v>
          </cell>
        </row>
        <row r="7">
          <cell r="A7">
            <v>550</v>
          </cell>
        </row>
        <row r="8">
          <cell r="A8">
            <v>600</v>
          </cell>
        </row>
      </sheetData>
      <sheetData sheetId="2">
        <row r="1">
          <cell r="A1">
            <v>200</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hyperlink" Target="http://www.heavens-above.com/Satellites.aspx?lat=40.7005&amp;lng=141.3988&amp;loc=%e7%9c%8c%e7%ab%8b%e4%b8%89%e6%b2%a2%e8%88%aa%e7%a9%ba%e7%a7%91%e5%ad%a6%e9%a4%a8&amp;alt=28&amp;tz=JapST" TargetMode="External"/><Relationship Id="rId2" Type="http://schemas.openxmlformats.org/officeDocument/2006/relationships/hyperlink" Target="http://www.heavens-above.com/SelectLocation.aspx?lat=40.7005&amp;lng=141.3988&amp;loc=%e7%9c%8c%e7%ab%8b%e4%b8%89%e6%b2%a2%e8%88%aa%e7%a9%ba%e7%a7%91%e5%ad%a6%e9%a4%a8&amp;alt=28&amp;tz=JapST" TargetMode="External"/><Relationship Id="rId1" Type="http://schemas.openxmlformats.org/officeDocument/2006/relationships/hyperlink" Target="http://www.heavens-above.com/" TargetMode="External"/><Relationship Id="rId6" Type="http://schemas.openxmlformats.org/officeDocument/2006/relationships/hyperlink" Target="http://www.heavens-above.com/SatInfo.aspx?satid=39766&amp;lat=40.7005&amp;lng=141.3988&amp;loc=%e7%9c%8c%e7%ab%8b%e4%b8%89%e6%b2%a2%e8%88%aa%e7%a9%ba%e7%a7%91%e5%ad%a6%e9%a4%a8&amp;alt=28&amp;tz=JapST" TargetMode="External"/><Relationship Id="rId5" Type="http://schemas.openxmlformats.org/officeDocument/2006/relationships/hyperlink" Target="http://www.heavens-above.com/Satellites.aspx?lat=40.7005&amp;lng=141.3988&amp;loc=%e7%9c%8c%e7%ab%8b%e4%b8%89%e6%b2%a2%e8%88%aa%e7%a9%ba%e7%a7%91%e5%ad%a6%e9%a4%a8&amp;alt=28&amp;tz=JapST" TargetMode="External"/><Relationship Id="rId4" Type="http://schemas.openxmlformats.org/officeDocument/2006/relationships/hyperlink" Target="http://www.heavens-above.com/PassSummary.aspx?satid=39766&amp;lat=40.7005&amp;lng=141.3988&amp;loc=%e7%9c%8c%e7%ab%8b%e4%b8%89%e6%b2%a2%e8%88%aa%e7%a9%ba%e7%a7%91%e5%ad%a6%e9%a4%a8&amp;alt=28&amp;tz=JapST" TargetMode="Externa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12.xml.rels><?xml version="1.0" encoding="UTF-8" standalone="yes"?>
<Relationships xmlns="http://schemas.openxmlformats.org/package/2006/relationships"><Relationship Id="rId26" Type="http://schemas.openxmlformats.org/officeDocument/2006/relationships/hyperlink" Target="http://excelfunction.pc-users.net/search/offset.html" TargetMode="External"/><Relationship Id="rId21" Type="http://schemas.openxmlformats.org/officeDocument/2006/relationships/hyperlink" Target="http://excelfunction.pc-users.net/statistics/min.html" TargetMode="External"/><Relationship Id="rId42" Type="http://schemas.openxmlformats.org/officeDocument/2006/relationships/hyperlink" Target="http://excelfunction.pc-users.net/logic/true.html" TargetMode="External"/><Relationship Id="rId47" Type="http://schemas.openxmlformats.org/officeDocument/2006/relationships/hyperlink" Target="http://excelfunction.pc-users.net/financial/sln.html" TargetMode="External"/><Relationship Id="rId63" Type="http://schemas.openxmlformats.org/officeDocument/2006/relationships/hyperlink" Target="http://excelfunction.pc-users.net/engineering/bin2hex.html" TargetMode="External"/><Relationship Id="rId68" Type="http://schemas.openxmlformats.org/officeDocument/2006/relationships/hyperlink" Target="http://excelfunction.pc-users.net/cube/cubeset.html" TargetMode="External"/><Relationship Id="rId7" Type="http://schemas.openxmlformats.org/officeDocument/2006/relationships/hyperlink" Target="http://excelfunction.pc-users.net/character/trim.html" TargetMode="External"/><Relationship Id="rId2" Type="http://schemas.openxmlformats.org/officeDocument/2006/relationships/hyperlink" Target="http://excelfunction.pc-users.net/character/left.html" TargetMode="External"/><Relationship Id="rId16" Type="http://schemas.openxmlformats.org/officeDocument/2006/relationships/hyperlink" Target="http://excelfunction.pc-users.net/statistics/" TargetMode="External"/><Relationship Id="rId29" Type="http://schemas.openxmlformats.org/officeDocument/2006/relationships/hyperlink" Target="http://excelfunction.pc-users.net/search/row.html" TargetMode="External"/><Relationship Id="rId11" Type="http://schemas.openxmlformats.org/officeDocument/2006/relationships/hyperlink" Target="http://excelfunction.pc-users.net/date_time/time.html" TargetMode="External"/><Relationship Id="rId24" Type="http://schemas.openxmlformats.org/officeDocument/2006/relationships/hyperlink" Target="http://excelfunction.pc-users.net/search/vlookup.html" TargetMode="External"/><Relationship Id="rId32" Type="http://schemas.openxmlformats.org/officeDocument/2006/relationships/hyperlink" Target="http://excelfunction.pc-users.net/mathematics/sumif.html" TargetMode="External"/><Relationship Id="rId37" Type="http://schemas.openxmlformats.org/officeDocument/2006/relationships/hyperlink" Target="http://excelfunction.pc-users.net/mathematics/trunc.html" TargetMode="External"/><Relationship Id="rId40" Type="http://schemas.openxmlformats.org/officeDocument/2006/relationships/hyperlink" Target="http://excelfunction.pc-users.net/logic/or.html" TargetMode="External"/><Relationship Id="rId45" Type="http://schemas.openxmlformats.org/officeDocument/2006/relationships/hyperlink" Target="http://excelfunction.pc-users.net/financial/" TargetMode="External"/><Relationship Id="rId53" Type="http://schemas.openxmlformats.org/officeDocument/2006/relationships/hyperlink" Target="http://excelfunction.pc-users.net/financial/irr.html" TargetMode="External"/><Relationship Id="rId58" Type="http://schemas.openxmlformats.org/officeDocument/2006/relationships/hyperlink" Target="http://excelfunction.pc-users.net/information/istext.html" TargetMode="External"/><Relationship Id="rId66" Type="http://schemas.openxmlformats.org/officeDocument/2006/relationships/hyperlink" Target="http://excelfunction.pc-users.net/cube/" TargetMode="External"/><Relationship Id="rId5" Type="http://schemas.openxmlformats.org/officeDocument/2006/relationships/hyperlink" Target="http://excelfunction.pc-users.net/character/replace.html" TargetMode="External"/><Relationship Id="rId61" Type="http://schemas.openxmlformats.org/officeDocument/2006/relationships/hyperlink" Target="http://excelfunction.pc-users.net/engineering/" TargetMode="External"/><Relationship Id="rId19" Type="http://schemas.openxmlformats.org/officeDocument/2006/relationships/hyperlink" Target="http://excelfunction.pc-users.net/statistics/countif.html" TargetMode="External"/><Relationship Id="rId14" Type="http://schemas.openxmlformats.org/officeDocument/2006/relationships/hyperlink" Target="http://excelfunction.pc-users.net/date_time/day.html" TargetMode="External"/><Relationship Id="rId22" Type="http://schemas.openxmlformats.org/officeDocument/2006/relationships/hyperlink" Target="http://excelfunction.pc-users.net/statistics/rank.html" TargetMode="External"/><Relationship Id="rId27" Type="http://schemas.openxmlformats.org/officeDocument/2006/relationships/hyperlink" Target="http://excelfunction.pc-users.net/search/index_.html" TargetMode="External"/><Relationship Id="rId30" Type="http://schemas.openxmlformats.org/officeDocument/2006/relationships/hyperlink" Target="http://excelfunction.pc-users.net/mathematics/" TargetMode="External"/><Relationship Id="rId35" Type="http://schemas.openxmlformats.org/officeDocument/2006/relationships/hyperlink" Target="http://excelfunction.pc-users.net/mathematics/round.html" TargetMode="External"/><Relationship Id="rId43" Type="http://schemas.openxmlformats.org/officeDocument/2006/relationships/hyperlink" Target="http://excelfunction.pc-users.net/logic/false.html" TargetMode="External"/><Relationship Id="rId48" Type="http://schemas.openxmlformats.org/officeDocument/2006/relationships/hyperlink" Target="http://excelfunction.pc-users.net/financial/syd.html" TargetMode="External"/><Relationship Id="rId56" Type="http://schemas.openxmlformats.org/officeDocument/2006/relationships/hyperlink" Target="http://excelfunction.pc-users.net/information/iserror.html" TargetMode="External"/><Relationship Id="rId64" Type="http://schemas.openxmlformats.org/officeDocument/2006/relationships/hyperlink" Target="http://excelfunction.pc-users.net/engineering/bin2oct.html" TargetMode="External"/><Relationship Id="rId69" Type="http://schemas.openxmlformats.org/officeDocument/2006/relationships/hyperlink" Target="http://excelfunction.pc-users.net/cube/cubevalue.html" TargetMode="External"/><Relationship Id="rId8" Type="http://schemas.openxmlformats.org/officeDocument/2006/relationships/hyperlink" Target="http://excelfunction.pc-users.net/character/rept.html" TargetMode="External"/><Relationship Id="rId51" Type="http://schemas.openxmlformats.org/officeDocument/2006/relationships/hyperlink" Target="http://excelfunction.pc-users.net/financial/fv.html" TargetMode="External"/><Relationship Id="rId3" Type="http://schemas.openxmlformats.org/officeDocument/2006/relationships/hyperlink" Target="http://excelfunction.pc-users.net/character/right.html" TargetMode="External"/><Relationship Id="rId12" Type="http://schemas.openxmlformats.org/officeDocument/2006/relationships/hyperlink" Target="http://excelfunction.pc-users.net/date_time/year.html" TargetMode="External"/><Relationship Id="rId17" Type="http://schemas.openxmlformats.org/officeDocument/2006/relationships/hyperlink" Target="http://excelfunction.pc-users.net/statistics/average.html" TargetMode="External"/><Relationship Id="rId25" Type="http://schemas.openxmlformats.org/officeDocument/2006/relationships/hyperlink" Target="http://excelfunction.pc-users.net/search/match.html" TargetMode="External"/><Relationship Id="rId33" Type="http://schemas.openxmlformats.org/officeDocument/2006/relationships/hyperlink" Target="http://excelfunction.pc-users.net/mathematics/abs.html" TargetMode="External"/><Relationship Id="rId38" Type="http://schemas.openxmlformats.org/officeDocument/2006/relationships/hyperlink" Target="http://excelfunction.pc-users.net/logic/" TargetMode="External"/><Relationship Id="rId46" Type="http://schemas.openxmlformats.org/officeDocument/2006/relationships/hyperlink" Target="http://excelfunction.pc-users.net/financial/db.html" TargetMode="External"/><Relationship Id="rId59" Type="http://schemas.openxmlformats.org/officeDocument/2006/relationships/hyperlink" Target="http://excelfunction.pc-users.net/information/isnumber.html" TargetMode="External"/><Relationship Id="rId67" Type="http://schemas.openxmlformats.org/officeDocument/2006/relationships/hyperlink" Target="http://excelfunction.pc-users.net/cube/cubekpimember.html" TargetMode="External"/><Relationship Id="rId20" Type="http://schemas.openxmlformats.org/officeDocument/2006/relationships/hyperlink" Target="http://excelfunction.pc-users.net/statistics/max.html" TargetMode="External"/><Relationship Id="rId41" Type="http://schemas.openxmlformats.org/officeDocument/2006/relationships/hyperlink" Target="http://excelfunction.pc-users.net/logic/if.html" TargetMode="External"/><Relationship Id="rId54" Type="http://schemas.openxmlformats.org/officeDocument/2006/relationships/hyperlink" Target="http://excelfunction.pc-users.net/financial/npv.html" TargetMode="External"/><Relationship Id="rId62" Type="http://schemas.openxmlformats.org/officeDocument/2006/relationships/hyperlink" Target="http://excelfunction.pc-users.net/engineering/bin2dec.html" TargetMode="External"/><Relationship Id="rId1" Type="http://schemas.openxmlformats.org/officeDocument/2006/relationships/hyperlink" Target="http://excelfunction.pc-users.net/character/" TargetMode="External"/><Relationship Id="rId6" Type="http://schemas.openxmlformats.org/officeDocument/2006/relationships/hyperlink" Target="http://excelfunction.pc-users.net/character/find.html" TargetMode="External"/><Relationship Id="rId15" Type="http://schemas.openxmlformats.org/officeDocument/2006/relationships/hyperlink" Target="http://excelfunction.pc-users.net/date_time/weekday.html" TargetMode="External"/><Relationship Id="rId23" Type="http://schemas.openxmlformats.org/officeDocument/2006/relationships/hyperlink" Target="http://excelfunction.pc-users.net/search/" TargetMode="External"/><Relationship Id="rId28" Type="http://schemas.openxmlformats.org/officeDocument/2006/relationships/hyperlink" Target="http://excelfunction.pc-users.net/search/indirect.html" TargetMode="External"/><Relationship Id="rId36" Type="http://schemas.openxmlformats.org/officeDocument/2006/relationships/hyperlink" Target="http://excelfunction.pc-users.net/mathematics/subtotal.html" TargetMode="External"/><Relationship Id="rId49" Type="http://schemas.openxmlformats.org/officeDocument/2006/relationships/hyperlink" Target="http://excelfunction.pc-users.net/financial/vdb.html" TargetMode="External"/><Relationship Id="rId57" Type="http://schemas.openxmlformats.org/officeDocument/2006/relationships/hyperlink" Target="http://excelfunction.pc-users.net/information/cell.html" TargetMode="External"/><Relationship Id="rId10" Type="http://schemas.openxmlformats.org/officeDocument/2006/relationships/hyperlink" Target="http://excelfunction.pc-users.net/date_time/date.html" TargetMode="External"/><Relationship Id="rId31" Type="http://schemas.openxmlformats.org/officeDocument/2006/relationships/hyperlink" Target="http://excelfunction.pc-users.net/mathematics/sum.html" TargetMode="External"/><Relationship Id="rId44" Type="http://schemas.openxmlformats.org/officeDocument/2006/relationships/hyperlink" Target="http://excelfunction.pc-users.net/logic/not.html" TargetMode="External"/><Relationship Id="rId52" Type="http://schemas.openxmlformats.org/officeDocument/2006/relationships/hyperlink" Target="http://excelfunction.pc-users.net/financial/ipmt.html" TargetMode="External"/><Relationship Id="rId60" Type="http://schemas.openxmlformats.org/officeDocument/2006/relationships/hyperlink" Target="http://excelfunction.pc-users.net/information/isblank.html" TargetMode="External"/><Relationship Id="rId65" Type="http://schemas.openxmlformats.org/officeDocument/2006/relationships/hyperlink" Target="http://excelfunction.pc-users.net/engineering/convert.html" TargetMode="External"/><Relationship Id="rId4" Type="http://schemas.openxmlformats.org/officeDocument/2006/relationships/hyperlink" Target="http://excelfunction.pc-users.net/character/mid.html" TargetMode="External"/><Relationship Id="rId9" Type="http://schemas.openxmlformats.org/officeDocument/2006/relationships/hyperlink" Target="http://excelfunction.pc-users.net/date_time/" TargetMode="External"/><Relationship Id="rId13" Type="http://schemas.openxmlformats.org/officeDocument/2006/relationships/hyperlink" Target="http://excelfunction.pc-users.net/date_time/month.html" TargetMode="External"/><Relationship Id="rId18" Type="http://schemas.openxmlformats.org/officeDocument/2006/relationships/hyperlink" Target="http://excelfunction.pc-users.net/statistics/count.html" TargetMode="External"/><Relationship Id="rId39" Type="http://schemas.openxmlformats.org/officeDocument/2006/relationships/hyperlink" Target="http://excelfunction.pc-users.net/logic/and.html" TargetMode="External"/><Relationship Id="rId34" Type="http://schemas.openxmlformats.org/officeDocument/2006/relationships/hyperlink" Target="http://excelfunction.pc-users.net/mathematics/mod.html" TargetMode="External"/><Relationship Id="rId50" Type="http://schemas.openxmlformats.org/officeDocument/2006/relationships/hyperlink" Target="http://excelfunction.pc-users.net/financial/pv.html" TargetMode="External"/><Relationship Id="rId55" Type="http://schemas.openxmlformats.org/officeDocument/2006/relationships/hyperlink" Target="http://excelfunction.pc-users.net/information/" TargetMode="External"/></Relationships>
</file>

<file path=xl/worksheets/_rels/sheet13.xml.rels><?xml version="1.0" encoding="UTF-8" standalone="yes"?>
<Relationships xmlns="http://schemas.openxmlformats.org/package/2006/relationships"><Relationship Id="rId8" Type="http://schemas.openxmlformats.org/officeDocument/2006/relationships/hyperlink" Target="http://www.excel-list.com/dmin.html" TargetMode="External"/><Relationship Id="rId3" Type="http://schemas.openxmlformats.org/officeDocument/2006/relationships/hyperlink" Target="http://www.excel-list.com/product.html" TargetMode="External"/><Relationship Id="rId7" Type="http://schemas.openxmlformats.org/officeDocument/2006/relationships/hyperlink" Target="http://www.excel-list.com/maxa.html" TargetMode="External"/><Relationship Id="rId2" Type="http://schemas.openxmlformats.org/officeDocument/2006/relationships/hyperlink" Target="http://www.excel-list.com/mod.html" TargetMode="External"/><Relationship Id="rId1" Type="http://schemas.openxmlformats.org/officeDocument/2006/relationships/hyperlink" Target="http://www.excel-list.com/quotient.html" TargetMode="External"/><Relationship Id="rId6" Type="http://schemas.openxmlformats.org/officeDocument/2006/relationships/hyperlink" Target="http://www.excel-list.com/max.html" TargetMode="External"/><Relationship Id="rId5" Type="http://schemas.openxmlformats.org/officeDocument/2006/relationships/hyperlink" Target="http://www.excel-list.com/mina.html" TargetMode="External"/><Relationship Id="rId10" Type="http://schemas.openxmlformats.org/officeDocument/2006/relationships/printerSettings" Target="../printerSettings/printerSettings8.bin"/><Relationship Id="rId4" Type="http://schemas.openxmlformats.org/officeDocument/2006/relationships/hyperlink" Target="http://www.excel-list.com/min.html" TargetMode="External"/><Relationship Id="rId9" Type="http://schemas.openxmlformats.org/officeDocument/2006/relationships/hyperlink" Target="http://www.excel-list.com/dmax.html" TargetMode="External"/></Relationships>
</file>

<file path=xl/worksheets/_rels/sheet15.xml.rels><?xml version="1.0" encoding="UTF-8" standalone="yes"?>
<Relationships xmlns="http://schemas.openxmlformats.org/package/2006/relationships"><Relationship Id="rId13" Type="http://schemas.openxmlformats.org/officeDocument/2006/relationships/hyperlink" Target="http://excelfunction.pc-users.net/engineering/erf.html" TargetMode="External"/><Relationship Id="rId18" Type="http://schemas.openxmlformats.org/officeDocument/2006/relationships/hyperlink" Target="http://excelfunction.pc-users.net/engineering/hex2oct.html" TargetMode="External"/><Relationship Id="rId26" Type="http://schemas.openxmlformats.org/officeDocument/2006/relationships/hyperlink" Target="http://excelfunction.pc-users.net/engineering/imln.html" TargetMode="External"/><Relationship Id="rId21" Type="http://schemas.openxmlformats.org/officeDocument/2006/relationships/hyperlink" Target="http://excelfunction.pc-users.net/engineering/imargument.html" TargetMode="External"/><Relationship Id="rId34" Type="http://schemas.openxmlformats.org/officeDocument/2006/relationships/hyperlink" Target="http://excelfunction.pc-users.net/engineering/imsub.html" TargetMode="External"/><Relationship Id="rId7" Type="http://schemas.openxmlformats.org/officeDocument/2006/relationships/hyperlink" Target="http://excelfunction.pc-users.net/engineering/complex.html" TargetMode="External"/><Relationship Id="rId12" Type="http://schemas.openxmlformats.org/officeDocument/2006/relationships/hyperlink" Target="http://excelfunction.pc-users.net/engineering/delta.html" TargetMode="External"/><Relationship Id="rId17" Type="http://schemas.openxmlformats.org/officeDocument/2006/relationships/hyperlink" Target="http://excelfunction.pc-users.net/engineering/hex2dec.html" TargetMode="External"/><Relationship Id="rId25" Type="http://schemas.openxmlformats.org/officeDocument/2006/relationships/hyperlink" Target="http://excelfunction.pc-users.net/engineering/imexp.html" TargetMode="External"/><Relationship Id="rId33" Type="http://schemas.openxmlformats.org/officeDocument/2006/relationships/hyperlink" Target="http://excelfunction.pc-users.net/engineering/imsqrt.html" TargetMode="External"/><Relationship Id="rId38" Type="http://schemas.openxmlformats.org/officeDocument/2006/relationships/hyperlink" Target="http://excelfunction.pc-users.net/engineering/oct2hex.html" TargetMode="External"/><Relationship Id="rId2" Type="http://schemas.openxmlformats.org/officeDocument/2006/relationships/hyperlink" Target="http://excelfunction.pc-users.net/engineering/besselk.html" TargetMode="External"/><Relationship Id="rId16" Type="http://schemas.openxmlformats.org/officeDocument/2006/relationships/hyperlink" Target="http://excelfunction.pc-users.net/engineering/hex2bin.html" TargetMode="External"/><Relationship Id="rId20" Type="http://schemas.openxmlformats.org/officeDocument/2006/relationships/hyperlink" Target="http://excelfunction.pc-users.net/engineering/imaginary.html" TargetMode="External"/><Relationship Id="rId29" Type="http://schemas.openxmlformats.org/officeDocument/2006/relationships/hyperlink" Target="http://excelfunction.pc-users.net/engineering/impower.html" TargetMode="External"/><Relationship Id="rId1" Type="http://schemas.openxmlformats.org/officeDocument/2006/relationships/hyperlink" Target="http://excelfunction.pc-users.net/engineering/besselj.html" TargetMode="External"/><Relationship Id="rId6" Type="http://schemas.openxmlformats.org/officeDocument/2006/relationships/hyperlink" Target="http://excelfunction.pc-users.net/engineering/bin2oct.html" TargetMode="External"/><Relationship Id="rId11" Type="http://schemas.openxmlformats.org/officeDocument/2006/relationships/hyperlink" Target="http://excelfunction.pc-users.net/engineering/dec2oct.html" TargetMode="External"/><Relationship Id="rId24" Type="http://schemas.openxmlformats.org/officeDocument/2006/relationships/hyperlink" Target="http://excelfunction.pc-users.net/engineering/imdiv.html" TargetMode="External"/><Relationship Id="rId32" Type="http://schemas.openxmlformats.org/officeDocument/2006/relationships/hyperlink" Target="http://excelfunction.pc-users.net/engineering/imsin.html" TargetMode="External"/><Relationship Id="rId37" Type="http://schemas.openxmlformats.org/officeDocument/2006/relationships/hyperlink" Target="http://excelfunction.pc-users.net/engineering/oct2dec.html" TargetMode="External"/><Relationship Id="rId5" Type="http://schemas.openxmlformats.org/officeDocument/2006/relationships/hyperlink" Target="http://excelfunction.pc-users.net/engineering/bin2hex.html" TargetMode="External"/><Relationship Id="rId15" Type="http://schemas.openxmlformats.org/officeDocument/2006/relationships/hyperlink" Target="http://excelfunction.pc-users.net/engineering/gestep.html" TargetMode="External"/><Relationship Id="rId23" Type="http://schemas.openxmlformats.org/officeDocument/2006/relationships/hyperlink" Target="http://excelfunction.pc-users.net/engineering/imcos.html" TargetMode="External"/><Relationship Id="rId28" Type="http://schemas.openxmlformats.org/officeDocument/2006/relationships/hyperlink" Target="http://excelfunction.pc-users.net/engineering/imlog2.html" TargetMode="External"/><Relationship Id="rId36" Type="http://schemas.openxmlformats.org/officeDocument/2006/relationships/hyperlink" Target="http://excelfunction.pc-users.net/engineering/oct2bin.html" TargetMode="External"/><Relationship Id="rId10" Type="http://schemas.openxmlformats.org/officeDocument/2006/relationships/hyperlink" Target="http://excelfunction.pc-users.net/engineering/dec2hex.html" TargetMode="External"/><Relationship Id="rId19" Type="http://schemas.openxmlformats.org/officeDocument/2006/relationships/hyperlink" Target="http://excelfunction.pc-users.net/engineering/imabs.html" TargetMode="External"/><Relationship Id="rId31" Type="http://schemas.openxmlformats.org/officeDocument/2006/relationships/hyperlink" Target="http://excelfunction.pc-users.net/engineering/imreal.html" TargetMode="External"/><Relationship Id="rId4" Type="http://schemas.openxmlformats.org/officeDocument/2006/relationships/hyperlink" Target="http://excelfunction.pc-users.net/engineering/bin2dec.html" TargetMode="External"/><Relationship Id="rId9" Type="http://schemas.openxmlformats.org/officeDocument/2006/relationships/hyperlink" Target="http://excelfunction.pc-users.net/engineering/dec2bin.html" TargetMode="External"/><Relationship Id="rId14" Type="http://schemas.openxmlformats.org/officeDocument/2006/relationships/hyperlink" Target="http://excelfunction.pc-users.net/engineering/erfc.html" TargetMode="External"/><Relationship Id="rId22" Type="http://schemas.openxmlformats.org/officeDocument/2006/relationships/hyperlink" Target="http://excelfunction.pc-users.net/engineering/imconjugate.html" TargetMode="External"/><Relationship Id="rId27" Type="http://schemas.openxmlformats.org/officeDocument/2006/relationships/hyperlink" Target="http://excelfunction.pc-users.net/engineering/imlog10.html" TargetMode="External"/><Relationship Id="rId30" Type="http://schemas.openxmlformats.org/officeDocument/2006/relationships/hyperlink" Target="http://excelfunction.pc-users.net/engineering/improduct.html" TargetMode="External"/><Relationship Id="rId35" Type="http://schemas.openxmlformats.org/officeDocument/2006/relationships/hyperlink" Target="http://excelfunction.pc-users.net/engineering/imsum.html" TargetMode="External"/><Relationship Id="rId8" Type="http://schemas.openxmlformats.org/officeDocument/2006/relationships/hyperlink" Target="http://excelfunction.pc-users.net/engineering/convert.html" TargetMode="External"/><Relationship Id="rId3" Type="http://schemas.openxmlformats.org/officeDocument/2006/relationships/hyperlink" Target="http://excelfunction.pc-users.net/engineering/bessely.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75"/>
  <sheetViews>
    <sheetView workbookViewId="0">
      <selection activeCell="Q1" sqref="Q1"/>
    </sheetView>
  </sheetViews>
  <sheetFormatPr defaultRowHeight="13.5" x14ac:dyDescent="0.15"/>
  <cols>
    <col min="1" max="1" width="3.5" customWidth="1"/>
    <col min="2" max="2" width="10.25" customWidth="1"/>
    <col min="3" max="3" width="6.25" customWidth="1"/>
    <col min="4" max="4" width="12.75" bestFit="1" customWidth="1"/>
    <col min="5" max="5" width="1.375" customWidth="1"/>
    <col min="14" max="14" width="10.375" customWidth="1"/>
    <col min="15" max="15" width="7" customWidth="1"/>
    <col min="16" max="16" width="12.625" customWidth="1"/>
    <col min="17" max="17" width="11.875" customWidth="1"/>
    <col min="18" max="18" width="11" customWidth="1"/>
    <col min="23" max="26" width="17.625" customWidth="1"/>
  </cols>
  <sheetData>
    <row r="1" spans="1:26" ht="17.25" x14ac:dyDescent="0.15">
      <c r="B1" s="225" t="s">
        <v>0</v>
      </c>
      <c r="C1" s="225"/>
      <c r="D1" s="225"/>
      <c r="E1" s="225"/>
      <c r="F1" s="225"/>
      <c r="G1" s="225"/>
      <c r="H1" s="225"/>
      <c r="I1" s="225"/>
      <c r="J1" s="225"/>
      <c r="K1" s="225"/>
      <c r="L1" s="226"/>
      <c r="M1" s="223"/>
      <c r="N1" s="224"/>
      <c r="Q1" s="207" t="s">
        <v>1564</v>
      </c>
      <c r="W1" s="5"/>
      <c r="X1" s="5"/>
      <c r="Y1" s="5"/>
      <c r="Z1" s="5"/>
    </row>
    <row r="2" spans="1:26" ht="17.25" x14ac:dyDescent="0.15">
      <c r="A2" s="100" t="s">
        <v>522</v>
      </c>
      <c r="G2" s="87"/>
      <c r="H2" s="87"/>
      <c r="I2" s="87"/>
      <c r="J2" s="87"/>
      <c r="W2" s="6"/>
      <c r="X2" s="6"/>
      <c r="Y2" s="6"/>
      <c r="Z2" s="6"/>
    </row>
    <row r="3" spans="1:26" x14ac:dyDescent="0.15">
      <c r="B3" s="129" t="s">
        <v>519</v>
      </c>
      <c r="C3" s="129"/>
      <c r="D3" s="129"/>
      <c r="E3" s="129"/>
      <c r="F3" s="129"/>
      <c r="G3" s="51"/>
      <c r="H3" s="51"/>
      <c r="I3" s="51"/>
      <c r="J3" s="51"/>
      <c r="W3" s="6"/>
      <c r="X3" s="6"/>
      <c r="Y3" s="6"/>
      <c r="Z3" s="6"/>
    </row>
    <row r="4" spans="1:26" x14ac:dyDescent="0.15">
      <c r="B4" s="130" t="s">
        <v>520</v>
      </c>
      <c r="C4" s="130"/>
      <c r="D4" s="130"/>
      <c r="E4" s="130"/>
      <c r="F4" s="130"/>
      <c r="G4" s="51"/>
      <c r="H4" s="51"/>
      <c r="I4" s="51"/>
      <c r="J4" s="51"/>
      <c r="W4" s="6"/>
      <c r="X4" s="6"/>
      <c r="Y4" s="6"/>
      <c r="Z4" s="6"/>
    </row>
    <row r="5" spans="1:26" x14ac:dyDescent="0.15">
      <c r="B5" s="131" t="s">
        <v>521</v>
      </c>
      <c r="C5" s="132"/>
      <c r="D5" s="132"/>
      <c r="E5" s="132"/>
      <c r="F5" s="132"/>
      <c r="G5" s="51"/>
      <c r="H5" s="51"/>
      <c r="I5" s="51"/>
      <c r="J5" s="51"/>
      <c r="W5" s="6"/>
      <c r="X5" s="6"/>
      <c r="Y5" s="6"/>
      <c r="Z5" s="6"/>
    </row>
    <row r="6" spans="1:26" x14ac:dyDescent="0.15">
      <c r="B6" s="133" t="s">
        <v>614</v>
      </c>
      <c r="C6" s="134"/>
      <c r="D6" s="134"/>
      <c r="E6" s="134"/>
      <c r="F6" s="134"/>
      <c r="G6" s="51"/>
      <c r="H6" s="51"/>
      <c r="I6" s="51"/>
      <c r="J6" s="51"/>
      <c r="W6" s="6"/>
      <c r="X6" s="6"/>
      <c r="Y6" s="6"/>
      <c r="Z6" s="6"/>
    </row>
    <row r="7" spans="1:26" x14ac:dyDescent="0.15">
      <c r="E7" s="3"/>
      <c r="F7" s="4"/>
      <c r="H7" s="4"/>
      <c r="I7" s="15" t="s">
        <v>7</v>
      </c>
      <c r="W7" s="6"/>
      <c r="X7" s="6"/>
      <c r="Y7" s="6"/>
      <c r="Z7" s="6"/>
    </row>
    <row r="8" spans="1:26" ht="14.25" thickBot="1" x14ac:dyDescent="0.2">
      <c r="D8" s="95" t="s">
        <v>6</v>
      </c>
      <c r="E8" s="3"/>
      <c r="F8" s="4"/>
      <c r="G8" s="15" t="s">
        <v>26</v>
      </c>
      <c r="H8" s="4"/>
      <c r="I8" s="95" t="s">
        <v>3</v>
      </c>
      <c r="K8" s="12"/>
      <c r="L8" s="209" t="s">
        <v>9</v>
      </c>
      <c r="W8" s="6"/>
      <c r="X8" s="6"/>
      <c r="Y8" s="6"/>
      <c r="Z8" s="6"/>
    </row>
    <row r="9" spans="1:26" ht="18" thickBot="1" x14ac:dyDescent="0.2">
      <c r="B9" s="12" t="s">
        <v>515</v>
      </c>
      <c r="C9" s="13"/>
      <c r="D9" s="9">
        <v>45</v>
      </c>
      <c r="E9" s="4">
        <f>SIN(RADIANS(D9))</f>
        <v>0.70710678118654746</v>
      </c>
      <c r="F9" s="1"/>
      <c r="G9" s="9">
        <v>20</v>
      </c>
      <c r="H9" s="1" t="s">
        <v>2</v>
      </c>
      <c r="I9" s="10">
        <f>G9*E9</f>
        <v>14.142135623730949</v>
      </c>
      <c r="K9" s="31" t="s">
        <v>12</v>
      </c>
      <c r="L9" s="12"/>
      <c r="N9" s="210"/>
      <c r="P9" s="212"/>
      <c r="Q9" s="212"/>
      <c r="W9" s="6"/>
      <c r="X9" s="6"/>
      <c r="Y9" s="6"/>
      <c r="Z9" s="6"/>
    </row>
    <row r="10" spans="1:26" x14ac:dyDescent="0.15">
      <c r="B10" s="12"/>
      <c r="C10" s="12"/>
      <c r="K10" s="12"/>
      <c r="L10" s="217" t="s">
        <v>10</v>
      </c>
      <c r="N10" s="51"/>
      <c r="O10" s="51"/>
      <c r="W10" s="6"/>
      <c r="X10" s="6"/>
      <c r="Y10" s="6"/>
      <c r="Z10" s="6"/>
    </row>
    <row r="11" spans="1:26" ht="14.25" thickBot="1" x14ac:dyDescent="0.2">
      <c r="B11" s="12"/>
      <c r="C11" s="12"/>
      <c r="D11" s="1"/>
      <c r="E11" s="3"/>
      <c r="G11" s="1"/>
      <c r="I11" s="13" t="s">
        <v>5</v>
      </c>
      <c r="K11" s="12"/>
      <c r="L11" s="12"/>
      <c r="N11" s="51"/>
      <c r="O11" s="51"/>
      <c r="W11" s="6"/>
      <c r="X11" s="6"/>
      <c r="Y11" s="6"/>
      <c r="Z11" s="6"/>
    </row>
    <row r="12" spans="1:26" ht="14.25" thickBot="1" x14ac:dyDescent="0.2">
      <c r="B12" s="12" t="s">
        <v>516</v>
      </c>
      <c r="C12" s="13"/>
      <c r="D12" s="4"/>
      <c r="E12" s="4">
        <f>COS(RADIANS(D9))</f>
        <v>0.70710678118654757</v>
      </c>
      <c r="F12" s="1"/>
      <c r="G12" s="4"/>
      <c r="H12" s="1"/>
      <c r="I12" s="10">
        <f>G9*E12</f>
        <v>14.142135623730951</v>
      </c>
      <c r="K12" s="12"/>
      <c r="L12" s="209" t="s">
        <v>11</v>
      </c>
      <c r="N12" s="51"/>
      <c r="O12" s="51"/>
      <c r="W12" s="6"/>
      <c r="X12" s="6"/>
      <c r="Y12" s="6"/>
      <c r="Z12" s="6"/>
    </row>
    <row r="13" spans="1:26" x14ac:dyDescent="0.15">
      <c r="K13" s="31" t="s">
        <v>13</v>
      </c>
      <c r="L13" s="12"/>
      <c r="N13" s="51"/>
      <c r="O13" s="51"/>
      <c r="W13" s="6"/>
      <c r="X13" s="6"/>
      <c r="Y13" s="6"/>
      <c r="Z13" s="6"/>
    </row>
    <row r="14" spans="1:26" ht="17.25" x14ac:dyDescent="0.15">
      <c r="B14" s="89" t="s">
        <v>523</v>
      </c>
      <c r="K14" s="12"/>
      <c r="L14" s="217" t="s">
        <v>8</v>
      </c>
      <c r="M14" s="213" t="s">
        <v>1566</v>
      </c>
      <c r="N14" s="216"/>
      <c r="O14" s="216"/>
      <c r="Q14" s="213" t="s">
        <v>1565</v>
      </c>
      <c r="W14" s="6"/>
      <c r="X14" s="6"/>
      <c r="Y14" s="6"/>
      <c r="Z14" s="6"/>
    </row>
    <row r="15" spans="1:26" ht="18" thickBot="1" x14ac:dyDescent="0.2">
      <c r="B15" s="90"/>
      <c r="G15" s="13" t="s">
        <v>22</v>
      </c>
      <c r="H15" s="12" t="s">
        <v>23</v>
      </c>
      <c r="I15" s="13" t="s">
        <v>25</v>
      </c>
      <c r="K15" s="12"/>
      <c r="L15" s="12"/>
      <c r="O15" s="213"/>
      <c r="W15" s="6"/>
      <c r="X15" s="6"/>
      <c r="Y15" s="6"/>
      <c r="Z15" s="6"/>
    </row>
    <row r="16" spans="1:26" ht="18" thickBot="1" x14ac:dyDescent="0.2">
      <c r="G16" s="10">
        <f>I9</f>
        <v>14.142135623730949</v>
      </c>
      <c r="H16" s="10">
        <f>I12</f>
        <v>14.142135623730951</v>
      </c>
      <c r="I16" s="10">
        <f>G16*H16/2</f>
        <v>100</v>
      </c>
      <c r="J16" t="s">
        <v>24</v>
      </c>
      <c r="K16" s="12"/>
      <c r="L16" s="209" t="s">
        <v>9</v>
      </c>
      <c r="Q16" s="8"/>
      <c r="W16" s="6"/>
      <c r="X16" s="6"/>
      <c r="Y16" s="6"/>
      <c r="Z16" s="6"/>
    </row>
    <row r="17" spans="1:26" ht="17.25" x14ac:dyDescent="0.15">
      <c r="K17" s="31" t="s">
        <v>14</v>
      </c>
      <c r="L17" s="12"/>
      <c r="O17" s="7"/>
      <c r="P17" s="7"/>
      <c r="Q17" s="8"/>
      <c r="W17" s="6"/>
      <c r="X17" s="6"/>
      <c r="Y17" s="6"/>
      <c r="Z17" s="6"/>
    </row>
    <row r="18" spans="1:26" ht="14.25" thickBot="1" x14ac:dyDescent="0.2">
      <c r="I18" s="13" t="s">
        <v>3</v>
      </c>
      <c r="K18" s="12"/>
      <c r="L18" s="217" t="s">
        <v>11</v>
      </c>
      <c r="W18" s="6"/>
      <c r="X18" s="6"/>
      <c r="Y18" s="6"/>
      <c r="Z18" s="6"/>
    </row>
    <row r="19" spans="1:26" ht="18" thickBot="1" x14ac:dyDescent="0.2">
      <c r="B19" s="12" t="s">
        <v>517</v>
      </c>
      <c r="E19" s="4">
        <f>TAN(RADIANS(D9))</f>
        <v>0.99999999999999989</v>
      </c>
      <c r="I19" s="10">
        <f>G9*E19</f>
        <v>19.999999999999996</v>
      </c>
      <c r="O19" s="206" t="s">
        <v>4</v>
      </c>
      <c r="Q19" s="8"/>
      <c r="W19" s="6"/>
      <c r="X19" s="6"/>
      <c r="Y19" s="6"/>
      <c r="Z19" s="6"/>
    </row>
    <row r="20" spans="1:26" x14ac:dyDescent="0.15">
      <c r="W20" s="6"/>
      <c r="X20" s="6"/>
      <c r="Y20" s="6"/>
      <c r="Z20" s="6"/>
    </row>
    <row r="21" spans="1:26" ht="14.25" thickBot="1" x14ac:dyDescent="0.2">
      <c r="I21" s="13" t="s">
        <v>5</v>
      </c>
      <c r="W21" s="6"/>
      <c r="X21" s="6"/>
      <c r="Y21" s="6"/>
      <c r="Z21" s="6"/>
    </row>
    <row r="22" spans="1:26" ht="14.25" thickBot="1" x14ac:dyDescent="0.2">
      <c r="B22" s="12" t="s">
        <v>518</v>
      </c>
      <c r="I22" s="10">
        <f>G9*1/E19</f>
        <v>20.000000000000004</v>
      </c>
      <c r="W22" s="6"/>
      <c r="X22" s="6"/>
      <c r="Y22" s="6"/>
      <c r="Z22" s="6"/>
    </row>
    <row r="23" spans="1:26" x14ac:dyDescent="0.15">
      <c r="W23" s="6"/>
      <c r="X23" s="6"/>
      <c r="Y23" s="6"/>
      <c r="Z23" s="6"/>
    </row>
    <row r="24" spans="1:26" x14ac:dyDescent="0.15">
      <c r="W24" s="6"/>
      <c r="X24" s="6"/>
      <c r="Y24" s="6"/>
      <c r="Z24" s="6"/>
    </row>
    <row r="25" spans="1:26" x14ac:dyDescent="0.15">
      <c r="L25" s="11"/>
      <c r="W25" s="6"/>
      <c r="X25" s="6"/>
      <c r="Y25" s="6"/>
      <c r="Z25" s="6"/>
    </row>
    <row r="26" spans="1:26" x14ac:dyDescent="0.15">
      <c r="A26" s="78"/>
      <c r="B26" s="79"/>
      <c r="C26" s="79"/>
      <c r="D26" s="79"/>
      <c r="E26" s="79"/>
      <c r="F26" s="79"/>
      <c r="G26" s="79"/>
      <c r="H26" s="79"/>
      <c r="I26" s="79"/>
      <c r="J26" s="79"/>
      <c r="K26" s="79"/>
      <c r="L26" s="214"/>
      <c r="W26" s="6"/>
      <c r="X26" s="6"/>
      <c r="Y26" s="6"/>
      <c r="Z26" s="6"/>
    </row>
    <row r="27" spans="1:26" x14ac:dyDescent="0.15">
      <c r="A27" s="81"/>
      <c r="B27" s="82" t="s">
        <v>1561</v>
      </c>
      <c r="C27" s="208"/>
      <c r="D27" s="4"/>
      <c r="E27" s="4"/>
      <c r="F27" s="5"/>
      <c r="G27" s="4"/>
      <c r="H27" s="5"/>
      <c r="I27" s="4"/>
      <c r="J27" s="6"/>
      <c r="K27" s="6"/>
      <c r="L27" s="215"/>
      <c r="W27" s="6"/>
      <c r="X27" s="6"/>
      <c r="Y27" s="6"/>
      <c r="Z27" s="6"/>
    </row>
    <row r="28" spans="1:26" ht="18" thickBot="1" x14ac:dyDescent="0.2">
      <c r="A28" s="81"/>
      <c r="B28" s="82"/>
      <c r="C28" s="208"/>
      <c r="D28" s="95" t="s">
        <v>1556</v>
      </c>
      <c r="E28" s="4"/>
      <c r="F28" s="5"/>
      <c r="G28" s="95" t="s">
        <v>1557</v>
      </c>
      <c r="H28" s="5"/>
      <c r="I28" s="95" t="s">
        <v>6</v>
      </c>
      <c r="J28" s="95" t="s">
        <v>1559</v>
      </c>
      <c r="K28" s="6"/>
      <c r="L28" s="215"/>
      <c r="N28" s="210"/>
      <c r="P28" s="212"/>
      <c r="Q28" s="212"/>
      <c r="W28" s="6"/>
      <c r="X28" s="6"/>
      <c r="Y28" s="6"/>
      <c r="Z28" s="6"/>
    </row>
    <row r="29" spans="1:26" ht="14.25" thickBot="1" x14ac:dyDescent="0.2">
      <c r="A29" s="81"/>
      <c r="B29" s="82"/>
      <c r="C29" s="208"/>
      <c r="D29" s="9">
        <v>632</v>
      </c>
      <c r="E29" s="205">
        <f>(D29^2)+(G29^2)</f>
        <v>1115140</v>
      </c>
      <c r="F29" s="5"/>
      <c r="G29" s="9">
        <v>846</v>
      </c>
      <c r="H29" s="5"/>
      <c r="I29" s="10">
        <f>ATAN(D29/G29)*180/PI()</f>
        <v>36.761383041665134</v>
      </c>
      <c r="J29" s="10">
        <f>SQRT(E29)</f>
        <v>1056.0018939376955</v>
      </c>
      <c r="K29" s="6"/>
      <c r="L29" s="215"/>
      <c r="N29" s="51"/>
      <c r="O29" s="51"/>
      <c r="W29" s="6"/>
      <c r="X29" s="6"/>
      <c r="Y29" s="6"/>
      <c r="Z29" s="6"/>
    </row>
    <row r="30" spans="1:26" x14ac:dyDescent="0.15">
      <c r="A30" s="81"/>
      <c r="B30" s="82"/>
      <c r="C30" s="208"/>
      <c r="D30" s="4"/>
      <c r="E30" s="4"/>
      <c r="F30" s="5"/>
      <c r="G30" s="4"/>
      <c r="H30" s="5"/>
      <c r="I30" s="4"/>
      <c r="J30" s="6"/>
      <c r="K30" s="6"/>
      <c r="L30" s="215"/>
      <c r="N30" s="51"/>
      <c r="O30" s="51"/>
      <c r="W30" s="6"/>
      <c r="X30" s="6"/>
      <c r="Y30" s="6"/>
      <c r="Z30" s="6"/>
    </row>
    <row r="31" spans="1:26" x14ac:dyDescent="0.15">
      <c r="A31" s="81"/>
      <c r="B31" s="82" t="s">
        <v>1562</v>
      </c>
      <c r="C31" s="208"/>
      <c r="D31" s="4"/>
      <c r="E31" s="4"/>
      <c r="F31" s="5"/>
      <c r="G31" s="4"/>
      <c r="H31" s="5"/>
      <c r="I31" s="4"/>
      <c r="J31" s="6"/>
      <c r="K31" s="6"/>
      <c r="L31" s="215"/>
      <c r="N31" s="51"/>
      <c r="O31" s="51"/>
      <c r="W31" s="6"/>
      <c r="X31" s="6"/>
      <c r="Y31" s="6"/>
      <c r="Z31" s="6"/>
    </row>
    <row r="32" spans="1:26" ht="14.25" thickBot="1" x14ac:dyDescent="0.2">
      <c r="A32" s="81"/>
      <c r="B32" s="82"/>
      <c r="C32" s="208"/>
      <c r="D32" s="95" t="s">
        <v>1559</v>
      </c>
      <c r="E32" s="4"/>
      <c r="F32" s="5"/>
      <c r="G32" s="95" t="s">
        <v>1556</v>
      </c>
      <c r="H32" s="5"/>
      <c r="I32" s="95" t="s">
        <v>6</v>
      </c>
      <c r="J32" s="6"/>
      <c r="K32" s="6"/>
      <c r="L32" s="215"/>
      <c r="N32" s="51"/>
      <c r="O32" s="51"/>
      <c r="W32" s="6"/>
      <c r="X32" s="6"/>
      <c r="Y32" s="6"/>
      <c r="Z32" s="6"/>
    </row>
    <row r="33" spans="1:26" ht="18" thickBot="1" x14ac:dyDescent="0.2">
      <c r="A33" s="81"/>
      <c r="B33" s="82"/>
      <c r="C33" s="208"/>
      <c r="D33" s="9">
        <v>840000</v>
      </c>
      <c r="E33" s="4"/>
      <c r="F33" s="5"/>
      <c r="G33" s="9">
        <v>653860</v>
      </c>
      <c r="H33" s="5"/>
      <c r="I33" s="10">
        <f>ASIN(G33/D33)*180/PI()</f>
        <v>51.114748067871993</v>
      </c>
      <c r="J33" s="6"/>
      <c r="K33" s="6"/>
      <c r="L33" s="215"/>
      <c r="M33" s="227" t="s">
        <v>1566</v>
      </c>
      <c r="N33" s="228"/>
      <c r="O33" s="228"/>
      <c r="Q33" s="213" t="s">
        <v>1565</v>
      </c>
      <c r="W33" s="6"/>
      <c r="X33" s="6"/>
      <c r="Y33" s="6"/>
      <c r="Z33" s="6"/>
    </row>
    <row r="34" spans="1:26" ht="17.25" x14ac:dyDescent="0.15">
      <c r="A34" s="81"/>
      <c r="B34" s="82"/>
      <c r="C34" s="208"/>
      <c r="D34" s="4"/>
      <c r="E34" s="4"/>
      <c r="F34" s="3"/>
      <c r="G34" s="4"/>
      <c r="H34" s="3"/>
      <c r="I34" s="4"/>
      <c r="J34" s="6"/>
      <c r="K34" s="6"/>
      <c r="L34" s="215"/>
      <c r="O34" s="213"/>
      <c r="W34" s="6"/>
      <c r="X34" s="6"/>
      <c r="Y34" s="6"/>
      <c r="Z34" s="6"/>
    </row>
    <row r="35" spans="1:26" ht="17.25" x14ac:dyDescent="0.15">
      <c r="A35" s="81"/>
      <c r="B35" s="82" t="s">
        <v>1563</v>
      </c>
      <c r="C35" s="208"/>
      <c r="D35" s="4"/>
      <c r="E35" s="4"/>
      <c r="F35" s="3"/>
      <c r="G35" s="4"/>
      <c r="H35" s="3"/>
      <c r="I35" s="4"/>
      <c r="J35" s="6"/>
      <c r="K35" s="6"/>
      <c r="L35" s="215"/>
      <c r="Q35" s="210"/>
      <c r="W35" s="6"/>
      <c r="X35" s="6"/>
      <c r="Y35" s="6"/>
      <c r="Z35" s="6"/>
    </row>
    <row r="36" spans="1:26" ht="18" thickBot="1" x14ac:dyDescent="0.2">
      <c r="A36" s="81"/>
      <c r="B36" s="82"/>
      <c r="C36" s="208"/>
      <c r="D36" s="95" t="s">
        <v>1559</v>
      </c>
      <c r="E36" s="4"/>
      <c r="F36" s="5"/>
      <c r="G36" s="95" t="s">
        <v>1560</v>
      </c>
      <c r="H36" s="5"/>
      <c r="I36" s="95" t="s">
        <v>6</v>
      </c>
      <c r="J36" s="6"/>
      <c r="K36" s="6"/>
      <c r="L36" s="215"/>
      <c r="O36" s="213"/>
      <c r="P36" s="213"/>
      <c r="Q36" s="210"/>
      <c r="W36" s="6"/>
      <c r="X36" s="6"/>
      <c r="Y36" s="6"/>
      <c r="Z36" s="6"/>
    </row>
    <row r="37" spans="1:26" ht="14.25" thickBot="1" x14ac:dyDescent="0.2">
      <c r="A37" s="81"/>
      <c r="B37" s="82"/>
      <c r="C37" s="208"/>
      <c r="D37" s="9">
        <v>846000</v>
      </c>
      <c r="E37" s="4"/>
      <c r="F37" s="5"/>
      <c r="G37" s="9">
        <v>1</v>
      </c>
      <c r="H37" s="5"/>
      <c r="I37" s="10">
        <f>ACOS(G37/D37)*180/PI()</f>
        <v>89.999932274492295</v>
      </c>
      <c r="J37" s="6"/>
      <c r="K37" s="6"/>
      <c r="L37" s="215"/>
      <c r="W37" s="6"/>
      <c r="X37" s="6"/>
      <c r="Y37" s="6"/>
      <c r="Z37" s="6"/>
    </row>
    <row r="38" spans="1:26" ht="17.25" x14ac:dyDescent="0.15">
      <c r="A38" s="84"/>
      <c r="B38" s="85"/>
      <c r="C38" s="85"/>
      <c r="D38" s="85"/>
      <c r="E38" s="85"/>
      <c r="F38" s="85"/>
      <c r="G38" s="85"/>
      <c r="H38" s="85"/>
      <c r="I38" s="85"/>
      <c r="J38" s="85"/>
      <c r="K38" s="85"/>
      <c r="L38" s="86"/>
      <c r="O38" s="211" t="s">
        <v>4</v>
      </c>
      <c r="Q38" s="210"/>
      <c r="W38" s="6"/>
      <c r="X38" s="6"/>
      <c r="Y38" s="6"/>
      <c r="Z38" s="6"/>
    </row>
    <row r="39" spans="1:26" x14ac:dyDescent="0.15">
      <c r="A39" s="78"/>
      <c r="B39" s="79"/>
      <c r="C39" s="79"/>
      <c r="D39" s="79"/>
      <c r="E39" s="79"/>
      <c r="F39" s="79"/>
      <c r="G39" s="79"/>
      <c r="H39" s="79"/>
      <c r="I39" s="79"/>
      <c r="J39" s="79"/>
      <c r="K39" s="79"/>
      <c r="L39" s="80"/>
      <c r="W39" s="6"/>
      <c r="X39" s="6"/>
      <c r="Y39" s="6"/>
      <c r="Z39" s="6"/>
    </row>
    <row r="40" spans="1:26" x14ac:dyDescent="0.15">
      <c r="A40" s="81"/>
      <c r="B40" s="82" t="s">
        <v>524</v>
      </c>
      <c r="C40" s="5"/>
      <c r="D40" s="4"/>
      <c r="E40" s="4"/>
      <c r="F40" s="5"/>
      <c r="G40" s="4"/>
      <c r="H40" s="3"/>
      <c r="I40" s="4"/>
      <c r="J40" s="6"/>
      <c r="K40" s="6"/>
      <c r="L40" s="83"/>
      <c r="W40" s="6"/>
      <c r="X40" s="6"/>
      <c r="Y40" s="6"/>
      <c r="Z40" s="6"/>
    </row>
    <row r="41" spans="1:26" x14ac:dyDescent="0.15">
      <c r="A41" s="81"/>
      <c r="B41" s="6"/>
      <c r="C41" s="6"/>
      <c r="D41" s="6"/>
      <c r="E41" s="6"/>
      <c r="F41" s="6"/>
      <c r="G41" s="6"/>
      <c r="H41" s="6"/>
      <c r="I41" s="6"/>
      <c r="J41" s="6"/>
      <c r="K41" s="6"/>
      <c r="L41" s="83"/>
      <c r="W41" s="6"/>
      <c r="X41" s="6"/>
      <c r="Y41" s="6"/>
      <c r="Z41" s="6"/>
    </row>
    <row r="42" spans="1:26" ht="14.25" thickBot="1" x14ac:dyDescent="0.2">
      <c r="A42" s="81"/>
      <c r="B42" s="6"/>
      <c r="C42" s="6"/>
      <c r="D42" s="96" t="s">
        <v>6</v>
      </c>
      <c r="E42" s="3"/>
      <c r="F42" s="6"/>
      <c r="G42" s="96" t="s">
        <v>5</v>
      </c>
      <c r="H42" s="6"/>
      <c r="I42" s="96" t="s">
        <v>3</v>
      </c>
      <c r="J42" s="6"/>
      <c r="K42" s="6"/>
      <c r="L42" s="83"/>
      <c r="W42" s="6"/>
      <c r="X42" s="6"/>
      <c r="Y42" s="6"/>
      <c r="Z42" s="6"/>
    </row>
    <row r="43" spans="1:26" ht="14.25" thickBot="1" x14ac:dyDescent="0.2">
      <c r="A43" s="81"/>
      <c r="B43" s="82" t="s">
        <v>532</v>
      </c>
      <c r="C43" s="96"/>
      <c r="D43" s="9">
        <v>45</v>
      </c>
      <c r="E43" s="4">
        <f>TAN(RADIANS(D43))</f>
        <v>0.99999999999999989</v>
      </c>
      <c r="F43" s="5"/>
      <c r="G43" s="9">
        <v>1</v>
      </c>
      <c r="H43" s="5"/>
      <c r="I43" s="10">
        <f>G43*E43</f>
        <v>0.99999999999999989</v>
      </c>
      <c r="J43" s="6"/>
      <c r="K43" s="6"/>
      <c r="L43" s="83"/>
      <c r="W43" s="6"/>
      <c r="X43" s="6"/>
      <c r="Y43" s="6"/>
      <c r="Z43" s="6"/>
    </row>
    <row r="44" spans="1:26" x14ac:dyDescent="0.15">
      <c r="A44" s="81"/>
      <c r="B44" s="6"/>
      <c r="C44" s="6"/>
      <c r="D44" s="6"/>
      <c r="E44" s="6"/>
      <c r="F44" s="6"/>
      <c r="G44" s="6"/>
      <c r="H44" s="6"/>
      <c r="I44" s="6"/>
      <c r="J44" s="6"/>
      <c r="K44" s="6"/>
      <c r="L44" s="83"/>
      <c r="W44" s="6"/>
      <c r="X44" s="6"/>
      <c r="Y44" s="6"/>
      <c r="Z44" s="6"/>
    </row>
    <row r="45" spans="1:26" ht="14.25" thickBot="1" x14ac:dyDescent="0.2">
      <c r="A45" s="81"/>
      <c r="B45" s="6"/>
      <c r="C45" s="6"/>
      <c r="D45" s="3"/>
      <c r="E45" s="3"/>
      <c r="F45" s="6"/>
      <c r="G45" s="96" t="s">
        <v>3</v>
      </c>
      <c r="H45" s="6"/>
      <c r="I45" s="96" t="s">
        <v>5</v>
      </c>
      <c r="J45" s="6"/>
      <c r="K45" s="6"/>
      <c r="L45" s="83"/>
      <c r="W45" s="6"/>
      <c r="X45" s="6"/>
      <c r="Y45" s="6"/>
      <c r="Z45" s="6"/>
    </row>
    <row r="46" spans="1:26" ht="14.25" thickBot="1" x14ac:dyDescent="0.2">
      <c r="A46" s="81"/>
      <c r="B46" s="82" t="s">
        <v>533</v>
      </c>
      <c r="C46" s="96"/>
      <c r="D46" s="4"/>
      <c r="E46" s="4"/>
      <c r="F46" s="5"/>
      <c r="G46" s="9">
        <v>1</v>
      </c>
      <c r="H46" s="5"/>
      <c r="I46" s="10">
        <f>G46*1/E43</f>
        <v>1</v>
      </c>
      <c r="J46" s="6"/>
      <c r="K46" s="6"/>
      <c r="L46" s="83"/>
      <c r="W46" s="6"/>
      <c r="X46" s="6"/>
      <c r="Y46" s="6"/>
      <c r="Z46" s="6"/>
    </row>
    <row r="47" spans="1:26" x14ac:dyDescent="0.15">
      <c r="A47" s="81"/>
      <c r="B47" s="6"/>
      <c r="C47" s="5"/>
      <c r="D47" s="4"/>
      <c r="E47" s="4"/>
      <c r="F47" s="5"/>
      <c r="G47" s="4"/>
      <c r="H47" s="3"/>
      <c r="I47" s="4"/>
      <c r="J47" s="6"/>
      <c r="K47" s="6"/>
      <c r="L47" s="83"/>
      <c r="W47" s="6"/>
      <c r="X47" s="6"/>
      <c r="Y47" s="6"/>
      <c r="Z47" s="6"/>
    </row>
    <row r="48" spans="1:26" x14ac:dyDescent="0.15">
      <c r="A48" s="84"/>
      <c r="B48" s="85"/>
      <c r="C48" s="85"/>
      <c r="D48" s="85"/>
      <c r="E48" s="85"/>
      <c r="F48" s="85"/>
      <c r="G48" s="85"/>
      <c r="H48" s="85"/>
      <c r="I48" s="85"/>
      <c r="J48" s="85"/>
      <c r="K48" s="85"/>
      <c r="L48" s="86"/>
      <c r="W48" s="6"/>
      <c r="X48" s="6"/>
      <c r="Y48" s="6"/>
      <c r="Z48" s="6"/>
    </row>
    <row r="49" spans="1:26" x14ac:dyDescent="0.15">
      <c r="A49" s="78"/>
      <c r="B49" s="79"/>
      <c r="C49" s="79"/>
      <c r="D49" s="79"/>
      <c r="E49" s="79"/>
      <c r="F49" s="79"/>
      <c r="G49" s="79"/>
      <c r="H49" s="79"/>
      <c r="I49" s="79"/>
      <c r="J49" s="79"/>
      <c r="K49" s="79"/>
      <c r="L49" s="80"/>
      <c r="W49" s="6"/>
      <c r="X49" s="6"/>
      <c r="Y49" s="6"/>
      <c r="Z49" s="6"/>
    </row>
    <row r="50" spans="1:26" x14ac:dyDescent="0.15">
      <c r="A50" s="81"/>
      <c r="B50" s="82" t="s">
        <v>529</v>
      </c>
      <c r="C50" s="6"/>
      <c r="D50" s="6"/>
      <c r="E50" s="6"/>
      <c r="F50" s="6"/>
      <c r="G50" s="6"/>
      <c r="H50" s="6"/>
      <c r="I50" s="6"/>
      <c r="J50" s="6"/>
      <c r="K50" s="6"/>
      <c r="L50" s="83"/>
      <c r="W50" s="6"/>
      <c r="X50" s="6"/>
      <c r="Y50" s="6"/>
      <c r="Z50" s="6"/>
    </row>
    <row r="51" spans="1:26" ht="18" thickBot="1" x14ac:dyDescent="0.2">
      <c r="A51" s="81"/>
      <c r="B51" s="6"/>
      <c r="C51" s="6"/>
      <c r="D51" s="6"/>
      <c r="E51" s="6"/>
      <c r="F51" s="6"/>
      <c r="G51" s="6"/>
      <c r="H51" s="6"/>
      <c r="I51" s="6"/>
      <c r="J51" s="6"/>
      <c r="K51" s="6"/>
      <c r="L51" s="83"/>
      <c r="N51" s="210"/>
      <c r="P51" s="212"/>
      <c r="Q51" s="212"/>
      <c r="W51" s="6"/>
      <c r="X51" s="6"/>
      <c r="Y51" s="6"/>
      <c r="Z51" s="6"/>
    </row>
    <row r="52" spans="1:26" ht="14.25" thickBot="1" x14ac:dyDescent="0.2">
      <c r="A52" s="81"/>
      <c r="B52" s="10">
        <f>DEGREES(PI())</f>
        <v>180</v>
      </c>
      <c r="C52" s="6" t="s">
        <v>527</v>
      </c>
      <c r="D52" s="6"/>
      <c r="E52" s="6"/>
      <c r="F52" s="6"/>
      <c r="G52" s="6"/>
      <c r="H52" s="6"/>
      <c r="I52" s="6"/>
      <c r="J52" s="6"/>
      <c r="K52" s="6"/>
      <c r="L52" s="83"/>
      <c r="N52" s="51"/>
      <c r="O52" s="51"/>
      <c r="W52" s="6"/>
      <c r="X52" s="6"/>
      <c r="Y52" s="6"/>
      <c r="Z52" s="6"/>
    </row>
    <row r="53" spans="1:26" ht="14.25" thickBot="1" x14ac:dyDescent="0.2">
      <c r="A53" s="81"/>
      <c r="B53" s="5"/>
      <c r="C53" s="6"/>
      <c r="D53" s="6"/>
      <c r="E53" s="6"/>
      <c r="F53" s="6"/>
      <c r="G53" s="6"/>
      <c r="H53" s="6"/>
      <c r="I53" s="6"/>
      <c r="J53" s="6"/>
      <c r="K53" s="6"/>
      <c r="L53" s="83"/>
      <c r="N53" s="51"/>
      <c r="O53" s="51"/>
      <c r="W53" s="6"/>
      <c r="X53" s="6"/>
      <c r="Y53" s="6"/>
      <c r="Z53" s="6"/>
    </row>
    <row r="54" spans="1:26" ht="14.25" thickBot="1" x14ac:dyDescent="0.2">
      <c r="A54" s="81"/>
      <c r="B54" s="10">
        <f>PI()</f>
        <v>3.1415926535897931</v>
      </c>
      <c r="C54" s="6" t="s">
        <v>528</v>
      </c>
      <c r="D54" s="6"/>
      <c r="E54" s="6"/>
      <c r="F54" s="6"/>
      <c r="G54" s="6"/>
      <c r="H54" s="6"/>
      <c r="I54" s="6"/>
      <c r="J54" s="6"/>
      <c r="K54" s="6"/>
      <c r="L54" s="83"/>
      <c r="N54" s="51"/>
      <c r="O54" s="51"/>
      <c r="W54" s="6"/>
      <c r="X54" s="6"/>
      <c r="Y54" s="6"/>
      <c r="Z54" s="6"/>
    </row>
    <row r="55" spans="1:26" ht="17.25" x14ac:dyDescent="0.2">
      <c r="A55" s="81"/>
      <c r="B55" s="5"/>
      <c r="C55" s="6"/>
      <c r="D55" s="6"/>
      <c r="E55" s="6"/>
      <c r="F55" s="6"/>
      <c r="G55" s="6"/>
      <c r="H55" s="6"/>
      <c r="I55" s="6"/>
      <c r="J55" s="6"/>
      <c r="K55" s="6"/>
      <c r="L55" s="97" t="s">
        <v>21</v>
      </c>
      <c r="N55" s="51"/>
      <c r="O55" s="51"/>
      <c r="W55" s="6"/>
      <c r="X55" s="6"/>
      <c r="Y55" s="6"/>
      <c r="Z55" s="6"/>
    </row>
    <row r="56" spans="1:26" ht="17.25" x14ac:dyDescent="0.15">
      <c r="A56" s="81"/>
      <c r="E56" s="6"/>
      <c r="F56" s="6"/>
      <c r="G56" s="6"/>
      <c r="H56" s="6"/>
      <c r="I56" s="6"/>
      <c r="J56" s="6"/>
      <c r="K56" s="93" t="s">
        <v>20</v>
      </c>
      <c r="L56" s="83"/>
      <c r="M56" s="227" t="s">
        <v>1566</v>
      </c>
      <c r="N56" s="228"/>
      <c r="O56" s="228"/>
      <c r="Q56" s="213" t="s">
        <v>1565</v>
      </c>
      <c r="W56" s="6"/>
      <c r="X56" s="6"/>
      <c r="Y56" s="6"/>
      <c r="Z56" s="6"/>
    </row>
    <row r="57" spans="1:26" ht="18" thickBot="1" x14ac:dyDescent="0.2">
      <c r="A57" s="81"/>
      <c r="B57" s="3" t="s">
        <v>17</v>
      </c>
      <c r="C57" s="4"/>
      <c r="D57" s="3" t="s">
        <v>18</v>
      </c>
      <c r="E57" s="6"/>
      <c r="F57" s="6"/>
      <c r="G57" s="6"/>
      <c r="H57" s="6"/>
      <c r="I57" s="6"/>
      <c r="J57" s="6"/>
      <c r="K57" s="6"/>
      <c r="L57" s="98">
        <v>2</v>
      </c>
      <c r="O57" s="213"/>
      <c r="W57" s="6"/>
      <c r="X57" s="6"/>
      <c r="Y57" s="6"/>
      <c r="Z57" s="6"/>
    </row>
    <row r="58" spans="1:26" ht="18" thickBot="1" x14ac:dyDescent="0.2">
      <c r="A58" s="81"/>
      <c r="B58" s="9">
        <v>1</v>
      </c>
      <c r="C58" s="6" t="s">
        <v>16</v>
      </c>
      <c r="D58" s="10">
        <f>DEGREES(B58)</f>
        <v>57.295779513082323</v>
      </c>
      <c r="E58" s="6" t="s">
        <v>15</v>
      </c>
      <c r="F58" s="6"/>
      <c r="G58" s="30" t="s">
        <v>525</v>
      </c>
      <c r="H58" s="30"/>
      <c r="I58" s="6"/>
      <c r="J58" s="6"/>
      <c r="K58" s="6"/>
      <c r="L58" s="83"/>
      <c r="Q58" s="210"/>
      <c r="W58" s="6"/>
      <c r="X58" s="6"/>
      <c r="Y58" s="6"/>
      <c r="Z58" s="6"/>
    </row>
    <row r="59" spans="1:26" ht="18" thickBot="1" x14ac:dyDescent="0.2">
      <c r="A59" s="81"/>
      <c r="B59" s="6"/>
      <c r="C59" s="6"/>
      <c r="D59" s="6"/>
      <c r="E59" s="6"/>
      <c r="F59" s="6"/>
      <c r="G59" s="30"/>
      <c r="H59" s="30"/>
      <c r="I59" s="6"/>
      <c r="J59" s="6"/>
      <c r="K59" s="6"/>
      <c r="L59" s="83"/>
      <c r="O59" s="213"/>
      <c r="P59" s="213"/>
      <c r="Q59" s="210"/>
      <c r="W59" s="6"/>
      <c r="X59" s="6"/>
      <c r="Y59" s="6"/>
      <c r="Z59" s="6"/>
    </row>
    <row r="60" spans="1:26" ht="14.25" thickBot="1" x14ac:dyDescent="0.2">
      <c r="A60" s="81"/>
      <c r="B60" s="9">
        <v>57</v>
      </c>
      <c r="C60" s="6" t="s">
        <v>15</v>
      </c>
      <c r="D60" s="10">
        <f>RADIANS(B60)</f>
        <v>0.99483767363676789</v>
      </c>
      <c r="E60" s="6" t="s">
        <v>19</v>
      </c>
      <c r="F60" s="6"/>
      <c r="G60" s="30" t="s">
        <v>526</v>
      </c>
      <c r="H60" s="6"/>
      <c r="I60" s="6"/>
      <c r="J60" s="6"/>
      <c r="K60" s="6"/>
      <c r="L60" s="83"/>
      <c r="W60" s="6"/>
      <c r="X60" s="6"/>
      <c r="Y60" s="6"/>
      <c r="Z60" s="6"/>
    </row>
    <row r="61" spans="1:26" ht="17.25" x14ac:dyDescent="0.15">
      <c r="A61" s="81"/>
      <c r="B61" s="6"/>
      <c r="C61" s="6"/>
      <c r="D61" s="6"/>
      <c r="E61" s="6"/>
      <c r="F61" s="6"/>
      <c r="G61" s="6"/>
      <c r="H61" s="6"/>
      <c r="I61" s="6"/>
      <c r="J61" s="6"/>
      <c r="K61" s="6"/>
      <c r="L61" s="83"/>
      <c r="O61" s="211" t="s">
        <v>4</v>
      </c>
      <c r="Q61" s="210"/>
      <c r="W61" s="6"/>
      <c r="X61" s="6"/>
      <c r="Y61" s="6"/>
      <c r="Z61" s="6"/>
    </row>
    <row r="62" spans="1:26" x14ac:dyDescent="0.15">
      <c r="A62" s="81"/>
      <c r="B62" s="94" t="s">
        <v>511</v>
      </c>
      <c r="C62" s="6"/>
      <c r="D62" s="6"/>
      <c r="E62" s="6"/>
      <c r="F62" s="6"/>
      <c r="G62" s="6"/>
      <c r="H62" s="6"/>
      <c r="I62" s="6"/>
      <c r="J62" s="6"/>
      <c r="K62" s="6"/>
      <c r="L62" s="83"/>
      <c r="W62" s="6"/>
      <c r="X62" s="6"/>
      <c r="Y62" s="6"/>
      <c r="Z62" s="6"/>
    </row>
    <row r="63" spans="1:26" ht="14.25" thickBot="1" x14ac:dyDescent="0.2">
      <c r="A63" s="81"/>
      <c r="B63" s="82"/>
      <c r="C63" s="6"/>
      <c r="D63" s="6"/>
      <c r="E63" s="6"/>
      <c r="F63" s="6"/>
      <c r="G63" s="6"/>
      <c r="H63" s="6"/>
      <c r="I63" s="6"/>
      <c r="J63" s="6"/>
      <c r="K63" s="6"/>
      <c r="L63" s="83"/>
      <c r="W63" s="6"/>
      <c r="X63" s="6"/>
      <c r="Y63" s="6"/>
      <c r="Z63" s="6"/>
    </row>
    <row r="64" spans="1:26" ht="14.25" thickBot="1" x14ac:dyDescent="0.2">
      <c r="A64" s="81"/>
      <c r="B64" s="82" t="s">
        <v>530</v>
      </c>
      <c r="C64" s="6"/>
      <c r="D64" s="91">
        <v>0.9</v>
      </c>
      <c r="E64" s="15"/>
      <c r="F64" s="99" t="s">
        <v>514</v>
      </c>
      <c r="G64" s="92" t="s">
        <v>512</v>
      </c>
      <c r="H64" s="92" t="s">
        <v>513</v>
      </c>
      <c r="I64" s="92" t="s">
        <v>25</v>
      </c>
      <c r="J64" s="82"/>
      <c r="K64" s="6"/>
      <c r="L64" s="83"/>
      <c r="W64" s="6"/>
      <c r="X64" s="6"/>
      <c r="Y64" s="6"/>
      <c r="Z64" s="6"/>
    </row>
    <row r="65" spans="1:26" ht="14.25" thickBot="1" x14ac:dyDescent="0.2">
      <c r="A65" s="81"/>
      <c r="B65" s="82" t="s">
        <v>531</v>
      </c>
      <c r="C65" s="6"/>
      <c r="D65" s="10">
        <f>DEGREES(D64)</f>
        <v>51.566201561774093</v>
      </c>
      <c r="E65" s="4"/>
      <c r="F65" s="9">
        <v>10</v>
      </c>
      <c r="G65" s="10">
        <f>SIN(RADIANS(D65))*F65</f>
        <v>7.8332690962748339</v>
      </c>
      <c r="H65" s="10">
        <f>COS(RADIANS(D65))*F65</f>
        <v>6.2160996827066439</v>
      </c>
      <c r="I65" s="10">
        <f>G65*H65/2</f>
        <v>24.346190771954877</v>
      </c>
      <c r="J65" s="82" t="s">
        <v>24</v>
      </c>
      <c r="K65" s="6"/>
      <c r="L65" s="83"/>
      <c r="W65" s="6"/>
      <c r="X65" s="6"/>
      <c r="Y65" s="6"/>
      <c r="Z65" s="6"/>
    </row>
    <row r="66" spans="1:26" x14ac:dyDescent="0.15">
      <c r="A66" s="81"/>
      <c r="C66" s="6"/>
      <c r="D66" s="3"/>
      <c r="E66" s="6"/>
      <c r="F66" s="3"/>
      <c r="G66" s="6"/>
      <c r="H66" s="6"/>
      <c r="I66" s="6"/>
      <c r="L66" s="83"/>
      <c r="W66" s="6"/>
      <c r="X66" s="6"/>
      <c r="Y66" s="6"/>
      <c r="Z66" s="6"/>
    </row>
    <row r="67" spans="1:26" x14ac:dyDescent="0.15">
      <c r="A67" s="84"/>
      <c r="B67" s="85"/>
      <c r="C67" s="85"/>
      <c r="D67" s="85"/>
      <c r="E67" s="85"/>
      <c r="F67" s="85"/>
      <c r="G67" s="85"/>
      <c r="H67" s="85"/>
      <c r="I67" s="85"/>
      <c r="J67" s="85"/>
      <c r="K67" s="85"/>
      <c r="L67" s="86"/>
      <c r="W67" s="6"/>
      <c r="X67" s="6"/>
      <c r="Y67" s="6"/>
      <c r="Z67" s="6"/>
    </row>
    <row r="68" spans="1:26" x14ac:dyDescent="0.15">
      <c r="W68" s="6"/>
      <c r="X68" s="6"/>
      <c r="Y68" s="6"/>
      <c r="Z68" s="6"/>
    </row>
    <row r="69" spans="1:26" x14ac:dyDescent="0.15">
      <c r="W69" s="6"/>
      <c r="X69" s="6"/>
      <c r="Y69" s="6"/>
      <c r="Z69" s="6"/>
    </row>
    <row r="70" spans="1:26" x14ac:dyDescent="0.15">
      <c r="W70" s="6"/>
      <c r="X70" s="6"/>
      <c r="Y70" s="6"/>
      <c r="Z70" s="6"/>
    </row>
    <row r="71" spans="1:26" x14ac:dyDescent="0.15">
      <c r="I71" s="12"/>
      <c r="W71" s="6"/>
      <c r="X71" s="6"/>
      <c r="Y71" s="6"/>
      <c r="Z71" s="6"/>
    </row>
    <row r="72" spans="1:26" x14ac:dyDescent="0.15">
      <c r="H72" s="15"/>
      <c r="I72" s="16"/>
      <c r="W72" s="6"/>
      <c r="X72" s="6"/>
      <c r="Y72" s="6"/>
      <c r="Z72" s="6"/>
    </row>
    <row r="73" spans="1:26" x14ac:dyDescent="0.15">
      <c r="H73" s="4"/>
      <c r="I73" s="4"/>
      <c r="W73" s="6"/>
      <c r="X73" s="6"/>
      <c r="Y73" s="6"/>
      <c r="Z73" s="6"/>
    </row>
    <row r="74" spans="1:26" x14ac:dyDescent="0.15">
      <c r="W74" s="6"/>
      <c r="X74" s="6"/>
      <c r="Y74" s="6"/>
      <c r="Z74" s="6"/>
    </row>
    <row r="75" spans="1:26" x14ac:dyDescent="0.15">
      <c r="W75" s="6"/>
      <c r="X75" s="6"/>
      <c r="Y75" s="6"/>
      <c r="Z75" s="6"/>
    </row>
    <row r="76" spans="1:26" x14ac:dyDescent="0.15">
      <c r="W76" s="6"/>
      <c r="X76" s="6"/>
      <c r="Y76" s="6"/>
      <c r="Z76" s="6"/>
    </row>
    <row r="77" spans="1:26" x14ac:dyDescent="0.15">
      <c r="W77" s="6"/>
      <c r="X77" s="6"/>
      <c r="Y77" s="6"/>
      <c r="Z77" s="6"/>
    </row>
    <row r="78" spans="1:26" x14ac:dyDescent="0.15">
      <c r="W78" s="6"/>
      <c r="X78" s="6"/>
      <c r="Y78" s="6"/>
      <c r="Z78" s="6"/>
    </row>
    <row r="79" spans="1:26" x14ac:dyDescent="0.15">
      <c r="W79" s="6"/>
      <c r="X79" s="6"/>
      <c r="Y79" s="6"/>
      <c r="Z79" s="6"/>
    </row>
    <row r="80" spans="1:26" x14ac:dyDescent="0.15">
      <c r="W80" s="6"/>
      <c r="X80" s="6"/>
      <c r="Y80" s="6"/>
      <c r="Z80" s="6"/>
    </row>
    <row r="81" spans="23:26" x14ac:dyDescent="0.15">
      <c r="W81" s="6"/>
      <c r="X81" s="6"/>
      <c r="Y81" s="6"/>
      <c r="Z81" s="6"/>
    </row>
    <row r="82" spans="23:26" x14ac:dyDescent="0.15">
      <c r="W82" s="6"/>
      <c r="X82" s="6"/>
      <c r="Y82" s="6"/>
      <c r="Z82" s="6"/>
    </row>
    <row r="83" spans="23:26" x14ac:dyDescent="0.15">
      <c r="W83" s="6"/>
      <c r="X83" s="6"/>
      <c r="Y83" s="6"/>
      <c r="Z83" s="6"/>
    </row>
    <row r="84" spans="23:26" x14ac:dyDescent="0.15">
      <c r="W84" s="6"/>
      <c r="X84" s="6"/>
      <c r="Y84" s="6"/>
      <c r="Z84" s="6"/>
    </row>
    <row r="85" spans="23:26" x14ac:dyDescent="0.15">
      <c r="W85" s="6"/>
      <c r="X85" s="6"/>
      <c r="Y85" s="6"/>
      <c r="Z85" s="6"/>
    </row>
    <row r="86" spans="23:26" x14ac:dyDescent="0.15">
      <c r="W86" s="6"/>
      <c r="X86" s="6"/>
      <c r="Y86" s="6"/>
      <c r="Z86" s="6"/>
    </row>
    <row r="87" spans="23:26" x14ac:dyDescent="0.15">
      <c r="W87" s="6"/>
      <c r="X87" s="6"/>
      <c r="Y87" s="6"/>
      <c r="Z87" s="6"/>
    </row>
    <row r="88" spans="23:26" x14ac:dyDescent="0.15">
      <c r="W88" s="6"/>
      <c r="X88" s="6"/>
      <c r="Y88" s="6"/>
      <c r="Z88" s="6"/>
    </row>
    <row r="89" spans="23:26" x14ac:dyDescent="0.15">
      <c r="W89" s="6"/>
      <c r="X89" s="6"/>
      <c r="Y89" s="6"/>
      <c r="Z89" s="6"/>
    </row>
    <row r="90" spans="23:26" x14ac:dyDescent="0.15">
      <c r="W90" s="6"/>
      <c r="X90" s="6"/>
      <c r="Y90" s="6"/>
      <c r="Z90" s="6"/>
    </row>
    <row r="91" spans="23:26" x14ac:dyDescent="0.15">
      <c r="W91" s="6"/>
      <c r="X91" s="6"/>
      <c r="Y91" s="6"/>
      <c r="Z91" s="6"/>
    </row>
    <row r="92" spans="23:26" x14ac:dyDescent="0.15">
      <c r="W92" s="6"/>
      <c r="X92" s="6"/>
      <c r="Y92" s="6"/>
      <c r="Z92" s="6"/>
    </row>
    <row r="93" spans="23:26" x14ac:dyDescent="0.15">
      <c r="W93" s="6"/>
      <c r="X93" s="6"/>
      <c r="Y93" s="6"/>
      <c r="Z93" s="6"/>
    </row>
    <row r="94" spans="23:26" x14ac:dyDescent="0.15">
      <c r="W94" s="6"/>
      <c r="X94" s="6"/>
      <c r="Y94" s="6"/>
      <c r="Z94" s="6"/>
    </row>
    <row r="95" spans="23:26" x14ac:dyDescent="0.15">
      <c r="W95" s="6"/>
      <c r="X95" s="6"/>
      <c r="Y95" s="6"/>
      <c r="Z95" s="6"/>
    </row>
    <row r="96" spans="23:26" x14ac:dyDescent="0.15">
      <c r="W96" s="6"/>
      <c r="X96" s="6"/>
      <c r="Y96" s="6"/>
      <c r="Z96" s="6"/>
    </row>
    <row r="97" spans="23:26" x14ac:dyDescent="0.15">
      <c r="W97" s="6"/>
      <c r="X97" s="6"/>
      <c r="Y97" s="6"/>
      <c r="Z97" s="6"/>
    </row>
    <row r="98" spans="23:26" x14ac:dyDescent="0.15">
      <c r="W98" s="6"/>
      <c r="X98" s="6"/>
      <c r="Y98" s="6"/>
      <c r="Z98" s="6"/>
    </row>
    <row r="99" spans="23:26" x14ac:dyDescent="0.15">
      <c r="W99" s="6"/>
      <c r="X99" s="6"/>
      <c r="Y99" s="6"/>
      <c r="Z99" s="6"/>
    </row>
    <row r="100" spans="23:26" x14ac:dyDescent="0.15">
      <c r="W100" s="6"/>
      <c r="X100" s="6"/>
      <c r="Y100" s="6"/>
      <c r="Z100" s="6"/>
    </row>
    <row r="101" spans="23:26" x14ac:dyDescent="0.15">
      <c r="W101" s="6"/>
      <c r="X101" s="6"/>
      <c r="Y101" s="6"/>
      <c r="Z101" s="6"/>
    </row>
    <row r="102" spans="23:26" x14ac:dyDescent="0.15">
      <c r="W102" s="6"/>
      <c r="X102" s="6"/>
      <c r="Y102" s="6"/>
      <c r="Z102" s="6"/>
    </row>
    <row r="103" spans="23:26" x14ac:dyDescent="0.15">
      <c r="W103" s="6"/>
      <c r="X103" s="6"/>
      <c r="Y103" s="6"/>
      <c r="Z103" s="6"/>
    </row>
    <row r="104" spans="23:26" x14ac:dyDescent="0.15">
      <c r="W104" s="6"/>
      <c r="X104" s="6"/>
      <c r="Y104" s="6"/>
      <c r="Z104" s="6"/>
    </row>
    <row r="105" spans="23:26" x14ac:dyDescent="0.15">
      <c r="W105" s="6"/>
      <c r="X105" s="6"/>
      <c r="Y105" s="6"/>
      <c r="Z105" s="6"/>
    </row>
    <row r="106" spans="23:26" x14ac:dyDescent="0.15">
      <c r="W106" s="6"/>
      <c r="X106" s="6"/>
      <c r="Y106" s="6"/>
      <c r="Z106" s="6"/>
    </row>
    <row r="107" spans="23:26" x14ac:dyDescent="0.15">
      <c r="W107" s="6"/>
      <c r="X107" s="6"/>
      <c r="Y107" s="6"/>
      <c r="Z107" s="6"/>
    </row>
    <row r="108" spans="23:26" x14ac:dyDescent="0.15">
      <c r="W108" s="6"/>
      <c r="X108" s="6"/>
      <c r="Y108" s="6"/>
      <c r="Z108" s="6"/>
    </row>
    <row r="109" spans="23:26" x14ac:dyDescent="0.15">
      <c r="W109" s="6"/>
      <c r="X109" s="6"/>
      <c r="Y109" s="6"/>
      <c r="Z109" s="6"/>
    </row>
    <row r="110" spans="23:26" x14ac:dyDescent="0.15">
      <c r="W110" s="6"/>
      <c r="X110" s="6"/>
      <c r="Y110" s="6"/>
      <c r="Z110" s="6"/>
    </row>
    <row r="111" spans="23:26" x14ac:dyDescent="0.15">
      <c r="W111" s="6"/>
      <c r="X111" s="6"/>
      <c r="Y111" s="6"/>
      <c r="Z111" s="6"/>
    </row>
    <row r="112" spans="23:26" x14ac:dyDescent="0.15">
      <c r="W112" s="6"/>
      <c r="X112" s="6"/>
      <c r="Y112" s="6"/>
      <c r="Z112" s="6"/>
    </row>
    <row r="113" spans="23:26" x14ac:dyDescent="0.15">
      <c r="W113" s="6"/>
      <c r="X113" s="6"/>
      <c r="Y113" s="6"/>
      <c r="Z113" s="6"/>
    </row>
    <row r="114" spans="23:26" x14ac:dyDescent="0.15">
      <c r="W114" s="6"/>
      <c r="X114" s="6"/>
      <c r="Y114" s="6"/>
      <c r="Z114" s="6"/>
    </row>
    <row r="115" spans="23:26" x14ac:dyDescent="0.15">
      <c r="W115" s="6"/>
      <c r="X115" s="6"/>
      <c r="Y115" s="6"/>
      <c r="Z115" s="6"/>
    </row>
    <row r="116" spans="23:26" x14ac:dyDescent="0.15">
      <c r="W116" s="6"/>
      <c r="X116" s="6"/>
      <c r="Y116" s="6"/>
      <c r="Z116" s="6"/>
    </row>
    <row r="117" spans="23:26" x14ac:dyDescent="0.15">
      <c r="W117" s="6"/>
      <c r="X117" s="6"/>
      <c r="Y117" s="6"/>
      <c r="Z117" s="6"/>
    </row>
    <row r="118" spans="23:26" x14ac:dyDescent="0.15">
      <c r="W118" s="6"/>
      <c r="X118" s="6"/>
      <c r="Y118" s="6"/>
      <c r="Z118" s="6"/>
    </row>
    <row r="119" spans="23:26" x14ac:dyDescent="0.15">
      <c r="W119" s="6"/>
      <c r="X119" s="6"/>
      <c r="Y119" s="6"/>
      <c r="Z119" s="6"/>
    </row>
    <row r="120" spans="23:26" x14ac:dyDescent="0.15">
      <c r="W120" s="6"/>
      <c r="X120" s="6"/>
      <c r="Y120" s="6"/>
      <c r="Z120" s="6"/>
    </row>
    <row r="121" spans="23:26" x14ac:dyDescent="0.15">
      <c r="W121" s="6"/>
      <c r="X121" s="6"/>
      <c r="Y121" s="6"/>
      <c r="Z121" s="6"/>
    </row>
    <row r="122" spans="23:26" x14ac:dyDescent="0.15">
      <c r="W122" s="6"/>
      <c r="X122" s="6"/>
      <c r="Y122" s="6"/>
      <c r="Z122" s="6"/>
    </row>
    <row r="123" spans="23:26" x14ac:dyDescent="0.15">
      <c r="W123" s="6"/>
      <c r="X123" s="6"/>
      <c r="Y123" s="6"/>
      <c r="Z123" s="6"/>
    </row>
    <row r="124" spans="23:26" x14ac:dyDescent="0.15">
      <c r="W124" s="6"/>
      <c r="X124" s="6"/>
      <c r="Y124" s="6"/>
      <c r="Z124" s="6"/>
    </row>
    <row r="125" spans="23:26" x14ac:dyDescent="0.15">
      <c r="W125" s="6"/>
      <c r="X125" s="6"/>
      <c r="Y125" s="6"/>
      <c r="Z125" s="6"/>
    </row>
    <row r="126" spans="23:26" x14ac:dyDescent="0.15">
      <c r="W126" s="6"/>
      <c r="X126" s="6"/>
      <c r="Y126" s="6"/>
      <c r="Z126" s="6"/>
    </row>
    <row r="127" spans="23:26" x14ac:dyDescent="0.15">
      <c r="W127" s="6"/>
      <c r="X127" s="6"/>
      <c r="Y127" s="6"/>
      <c r="Z127" s="6"/>
    </row>
    <row r="128" spans="23:26" x14ac:dyDescent="0.15">
      <c r="W128" s="6"/>
      <c r="X128" s="6"/>
      <c r="Y128" s="6"/>
      <c r="Z128" s="6"/>
    </row>
    <row r="129" spans="23:26" x14ac:dyDescent="0.15">
      <c r="W129" s="6"/>
      <c r="X129" s="6"/>
      <c r="Y129" s="6"/>
      <c r="Z129" s="6"/>
    </row>
    <row r="130" spans="23:26" x14ac:dyDescent="0.15">
      <c r="W130" s="6"/>
      <c r="X130" s="6"/>
      <c r="Y130" s="6"/>
      <c r="Z130" s="6"/>
    </row>
    <row r="131" spans="23:26" x14ac:dyDescent="0.15">
      <c r="W131" s="6"/>
      <c r="X131" s="6"/>
      <c r="Y131" s="6"/>
      <c r="Z131" s="6"/>
    </row>
    <row r="132" spans="23:26" x14ac:dyDescent="0.15">
      <c r="W132" s="6"/>
      <c r="X132" s="6"/>
      <c r="Y132" s="6"/>
      <c r="Z132" s="6"/>
    </row>
    <row r="133" spans="23:26" x14ac:dyDescent="0.15">
      <c r="W133" s="6"/>
      <c r="X133" s="6"/>
      <c r="Y133" s="6"/>
      <c r="Z133" s="6"/>
    </row>
    <row r="134" spans="23:26" x14ac:dyDescent="0.15">
      <c r="W134" s="6"/>
      <c r="X134" s="6"/>
      <c r="Y134" s="6"/>
      <c r="Z134" s="6"/>
    </row>
    <row r="135" spans="23:26" x14ac:dyDescent="0.15">
      <c r="W135" s="6"/>
      <c r="X135" s="6"/>
      <c r="Y135" s="6"/>
      <c r="Z135" s="6"/>
    </row>
    <row r="136" spans="23:26" x14ac:dyDescent="0.15">
      <c r="W136" s="6"/>
      <c r="X136" s="6"/>
      <c r="Y136" s="6"/>
      <c r="Z136" s="6"/>
    </row>
    <row r="137" spans="23:26" x14ac:dyDescent="0.15">
      <c r="W137" s="6"/>
      <c r="X137" s="6"/>
      <c r="Y137" s="6"/>
      <c r="Z137" s="6"/>
    </row>
    <row r="138" spans="23:26" x14ac:dyDescent="0.15">
      <c r="W138" s="6"/>
      <c r="X138" s="6"/>
      <c r="Y138" s="6"/>
      <c r="Z138" s="6"/>
    </row>
    <row r="139" spans="23:26" x14ac:dyDescent="0.15">
      <c r="W139" s="6"/>
      <c r="X139" s="6"/>
      <c r="Y139" s="6"/>
      <c r="Z139" s="6"/>
    </row>
    <row r="140" spans="23:26" x14ac:dyDescent="0.15">
      <c r="W140" s="6"/>
      <c r="X140" s="6"/>
      <c r="Y140" s="6"/>
      <c r="Z140" s="6"/>
    </row>
    <row r="141" spans="23:26" x14ac:dyDescent="0.15">
      <c r="W141" s="6"/>
      <c r="X141" s="6"/>
      <c r="Y141" s="6"/>
      <c r="Z141" s="6"/>
    </row>
    <row r="142" spans="23:26" x14ac:dyDescent="0.15">
      <c r="W142" s="6"/>
      <c r="X142" s="6"/>
      <c r="Y142" s="6"/>
      <c r="Z142" s="6"/>
    </row>
    <row r="143" spans="23:26" x14ac:dyDescent="0.15">
      <c r="W143" s="6"/>
      <c r="X143" s="6"/>
      <c r="Y143" s="6"/>
      <c r="Z143" s="6"/>
    </row>
    <row r="144" spans="23:26" x14ac:dyDescent="0.15">
      <c r="W144" s="6"/>
      <c r="X144" s="6"/>
      <c r="Y144" s="6"/>
      <c r="Z144" s="6"/>
    </row>
    <row r="145" spans="23:26" x14ac:dyDescent="0.15">
      <c r="W145" s="6"/>
      <c r="X145" s="6"/>
      <c r="Y145" s="6"/>
      <c r="Z145" s="6"/>
    </row>
    <row r="146" spans="23:26" x14ac:dyDescent="0.15">
      <c r="W146" s="6"/>
      <c r="X146" s="6"/>
      <c r="Y146" s="6"/>
      <c r="Z146" s="6"/>
    </row>
    <row r="147" spans="23:26" x14ac:dyDescent="0.15">
      <c r="W147" s="6"/>
      <c r="X147" s="6"/>
      <c r="Y147" s="6"/>
      <c r="Z147" s="6"/>
    </row>
    <row r="148" spans="23:26" x14ac:dyDescent="0.15">
      <c r="W148" s="6"/>
      <c r="X148" s="6"/>
      <c r="Y148" s="6"/>
      <c r="Z148" s="6"/>
    </row>
    <row r="149" spans="23:26" x14ac:dyDescent="0.15">
      <c r="W149" s="6"/>
      <c r="X149" s="6"/>
      <c r="Y149" s="6"/>
      <c r="Z149" s="6"/>
    </row>
    <row r="150" spans="23:26" x14ac:dyDescent="0.15">
      <c r="W150" s="6"/>
      <c r="X150" s="6"/>
      <c r="Y150" s="6"/>
      <c r="Z150" s="6"/>
    </row>
    <row r="151" spans="23:26" x14ac:dyDescent="0.15">
      <c r="W151" s="6"/>
      <c r="X151" s="6"/>
      <c r="Y151" s="6"/>
      <c r="Z151" s="6"/>
    </row>
    <row r="152" spans="23:26" x14ac:dyDescent="0.15">
      <c r="W152" s="6"/>
      <c r="X152" s="6"/>
      <c r="Y152" s="6"/>
      <c r="Z152" s="6"/>
    </row>
    <row r="153" spans="23:26" x14ac:dyDescent="0.15">
      <c r="W153" s="6"/>
      <c r="X153" s="6"/>
      <c r="Y153" s="6"/>
      <c r="Z153" s="6"/>
    </row>
    <row r="154" spans="23:26" x14ac:dyDescent="0.15">
      <c r="W154" s="6"/>
      <c r="X154" s="6"/>
      <c r="Y154" s="6"/>
      <c r="Z154" s="6"/>
    </row>
    <row r="155" spans="23:26" x14ac:dyDescent="0.15">
      <c r="W155" s="6"/>
      <c r="X155" s="6"/>
      <c r="Y155" s="6"/>
      <c r="Z155" s="6"/>
    </row>
    <row r="156" spans="23:26" x14ac:dyDescent="0.15">
      <c r="W156" s="6"/>
      <c r="X156" s="6"/>
      <c r="Y156" s="6"/>
      <c r="Z156" s="6"/>
    </row>
    <row r="157" spans="23:26" x14ac:dyDescent="0.15">
      <c r="W157" s="6"/>
      <c r="X157" s="6"/>
      <c r="Y157" s="6"/>
      <c r="Z157" s="6"/>
    </row>
    <row r="158" spans="23:26" x14ac:dyDescent="0.15">
      <c r="W158" s="6"/>
      <c r="X158" s="6"/>
      <c r="Y158" s="6"/>
      <c r="Z158" s="6"/>
    </row>
    <row r="159" spans="23:26" x14ac:dyDescent="0.15">
      <c r="W159" s="6"/>
      <c r="X159" s="6"/>
      <c r="Y159" s="6"/>
      <c r="Z159" s="6"/>
    </row>
    <row r="160" spans="23:26" x14ac:dyDescent="0.15">
      <c r="W160" s="6"/>
      <c r="X160" s="6"/>
      <c r="Y160" s="6"/>
      <c r="Z160" s="6"/>
    </row>
    <row r="161" spans="23:26" x14ac:dyDescent="0.15">
      <c r="W161" s="6"/>
      <c r="X161" s="6"/>
      <c r="Y161" s="6"/>
      <c r="Z161" s="6"/>
    </row>
    <row r="162" spans="23:26" x14ac:dyDescent="0.15">
      <c r="W162" s="6"/>
      <c r="X162" s="6"/>
      <c r="Y162" s="6"/>
      <c r="Z162" s="6"/>
    </row>
    <row r="163" spans="23:26" x14ac:dyDescent="0.15">
      <c r="W163" s="6"/>
      <c r="X163" s="6"/>
      <c r="Y163" s="6"/>
      <c r="Z163" s="6"/>
    </row>
    <row r="164" spans="23:26" x14ac:dyDescent="0.15">
      <c r="W164" s="6"/>
      <c r="X164" s="6"/>
      <c r="Y164" s="6"/>
      <c r="Z164" s="6"/>
    </row>
    <row r="165" spans="23:26" x14ac:dyDescent="0.15">
      <c r="W165" s="6"/>
      <c r="X165" s="6"/>
      <c r="Y165" s="6"/>
      <c r="Z165" s="6"/>
    </row>
    <row r="166" spans="23:26" x14ac:dyDescent="0.15">
      <c r="W166" s="6"/>
      <c r="X166" s="6"/>
      <c r="Y166" s="6"/>
      <c r="Z166" s="6"/>
    </row>
    <row r="167" spans="23:26" x14ac:dyDescent="0.15">
      <c r="W167" s="6"/>
      <c r="X167" s="6"/>
      <c r="Y167" s="6"/>
      <c r="Z167" s="6"/>
    </row>
    <row r="168" spans="23:26" x14ac:dyDescent="0.15">
      <c r="W168" s="6"/>
      <c r="X168" s="6"/>
      <c r="Y168" s="6"/>
      <c r="Z168" s="6"/>
    </row>
    <row r="169" spans="23:26" x14ac:dyDescent="0.15">
      <c r="W169" s="6"/>
      <c r="X169" s="6"/>
      <c r="Y169" s="6"/>
      <c r="Z169" s="6"/>
    </row>
    <row r="170" spans="23:26" x14ac:dyDescent="0.15">
      <c r="W170" s="6"/>
      <c r="X170" s="6"/>
      <c r="Y170" s="6"/>
      <c r="Z170" s="6"/>
    </row>
    <row r="171" spans="23:26" x14ac:dyDescent="0.15">
      <c r="W171" s="6"/>
      <c r="X171" s="6"/>
      <c r="Y171" s="6"/>
      <c r="Z171" s="6"/>
    </row>
    <row r="172" spans="23:26" x14ac:dyDescent="0.15">
      <c r="W172" s="6"/>
      <c r="X172" s="6"/>
      <c r="Y172" s="6"/>
      <c r="Z172" s="6"/>
    </row>
    <row r="173" spans="23:26" x14ac:dyDescent="0.15">
      <c r="W173" s="6"/>
      <c r="X173" s="6"/>
      <c r="Y173" s="6"/>
      <c r="Z173" s="6"/>
    </row>
    <row r="174" spans="23:26" x14ac:dyDescent="0.15">
      <c r="W174" s="6"/>
      <c r="X174" s="6"/>
      <c r="Y174" s="6"/>
      <c r="Z174" s="6"/>
    </row>
    <row r="175" spans="23:26" x14ac:dyDescent="0.15">
      <c r="W175" s="6"/>
      <c r="X175" s="6"/>
      <c r="Y175" s="6"/>
      <c r="Z175" s="6"/>
    </row>
  </sheetData>
  <mergeCells count="4">
    <mergeCell ref="M1:N1"/>
    <mergeCell ref="B1:L1"/>
    <mergeCell ref="M33:O33"/>
    <mergeCell ref="M56:O56"/>
  </mergeCells>
  <phoneticPr fontId="1"/>
  <pageMargins left="0.7" right="0.7" top="0.75" bottom="0.75" header="0.3" footer="0.3"/>
  <pageSetup paperSize="9" orientation="portrait" horizontalDpi="4294967292" verticalDpi="4294967292"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34"/>
  <sheetViews>
    <sheetView workbookViewId="0">
      <selection activeCell="I1" sqref="I1"/>
    </sheetView>
  </sheetViews>
  <sheetFormatPr defaultRowHeight="13.5" outlineLevelCol="1" x14ac:dyDescent="0.15"/>
  <cols>
    <col min="1" max="1" width="3.5" customWidth="1"/>
    <col min="2" max="9" width="12.625" customWidth="1"/>
    <col min="10" max="10" width="10.125" hidden="1" customWidth="1" outlineLevel="1"/>
    <col min="11" max="11" width="9" collapsed="1"/>
  </cols>
  <sheetData>
    <row r="1" spans="2:10" x14ac:dyDescent="0.15">
      <c r="B1" s="169" t="s">
        <v>1344</v>
      </c>
      <c r="I1" s="222" t="s">
        <v>1649</v>
      </c>
    </row>
    <row r="2" spans="2:10" x14ac:dyDescent="0.15">
      <c r="B2" s="230" t="s">
        <v>1392</v>
      </c>
      <c r="C2" s="230"/>
      <c r="D2" s="230"/>
      <c r="E2" s="230"/>
      <c r="F2" s="230"/>
      <c r="G2" s="230"/>
      <c r="H2" s="230"/>
      <c r="I2" s="230"/>
    </row>
    <row r="3" spans="2:10" x14ac:dyDescent="0.15">
      <c r="B3" s="226" t="s">
        <v>1393</v>
      </c>
      <c r="C3" s="226"/>
    </row>
    <row r="4" spans="2:10" x14ac:dyDescent="0.15">
      <c r="B4" s="170"/>
      <c r="C4" s="248" t="s">
        <v>1423</v>
      </c>
      <c r="D4" s="230"/>
      <c r="E4" s="230"/>
      <c r="F4" s="71"/>
      <c r="G4" s="71"/>
      <c r="H4" s="71"/>
      <c r="I4" s="71"/>
    </row>
    <row r="6" spans="2:10" x14ac:dyDescent="0.15">
      <c r="B6" s="226" t="s">
        <v>1394</v>
      </c>
      <c r="C6" s="226"/>
      <c r="D6" s="226"/>
      <c r="E6" s="226"/>
      <c r="F6" s="245" t="s">
        <v>1424</v>
      </c>
      <c r="G6" s="226"/>
      <c r="H6" s="226"/>
      <c r="I6" s="226"/>
    </row>
    <row r="7" spans="2:10" x14ac:dyDescent="0.15">
      <c r="B7" s="168"/>
      <c r="C7" s="168"/>
      <c r="D7" s="168"/>
      <c r="E7" s="168"/>
    </row>
    <row r="8" spans="2:10" x14ac:dyDescent="0.15">
      <c r="B8" s="226" t="s">
        <v>1395</v>
      </c>
      <c r="C8" s="226"/>
      <c r="D8" s="226"/>
      <c r="E8" s="226"/>
      <c r="F8" s="226"/>
      <c r="G8" s="226"/>
      <c r="H8" s="226"/>
      <c r="I8" s="226"/>
    </row>
    <row r="9" spans="2:10" x14ac:dyDescent="0.15">
      <c r="E9" s="78"/>
      <c r="F9" s="79"/>
      <c r="G9" s="79"/>
      <c r="H9" s="79"/>
      <c r="I9" s="80"/>
    </row>
    <row r="10" spans="2:10" x14ac:dyDescent="0.15">
      <c r="B10" s="71" t="s">
        <v>1396</v>
      </c>
      <c r="C10" s="144">
        <v>40.700499999999998</v>
      </c>
      <c r="D10" t="s">
        <v>1397</v>
      </c>
      <c r="E10" s="81"/>
      <c r="F10" s="240" t="s">
        <v>1398</v>
      </c>
      <c r="G10" s="240"/>
      <c r="H10" s="240"/>
      <c r="I10" s="83"/>
    </row>
    <row r="11" spans="2:10" x14ac:dyDescent="0.15">
      <c r="E11" s="81"/>
      <c r="F11" s="6"/>
      <c r="G11" s="6"/>
      <c r="H11" s="6"/>
      <c r="I11" s="83"/>
    </row>
    <row r="12" spans="2:10" x14ac:dyDescent="0.15">
      <c r="B12" s="71" t="s">
        <v>1399</v>
      </c>
      <c r="C12" s="144">
        <v>141.39869999999999</v>
      </c>
      <c r="D12" t="s">
        <v>1397</v>
      </c>
      <c r="E12" s="246" t="s">
        <v>1400</v>
      </c>
      <c r="F12" s="230"/>
      <c r="G12" s="230"/>
      <c r="H12" s="96" t="s">
        <v>1401</v>
      </c>
      <c r="I12" s="83"/>
    </row>
    <row r="13" spans="2:10" x14ac:dyDescent="0.15">
      <c r="E13" s="81"/>
      <c r="F13" s="82" t="s">
        <v>1402</v>
      </c>
      <c r="G13" s="6"/>
      <c r="H13" s="96" t="s">
        <v>7</v>
      </c>
      <c r="I13" s="83"/>
    </row>
    <row r="14" spans="2:10" x14ac:dyDescent="0.15">
      <c r="B14" s="71" t="s">
        <v>1403</v>
      </c>
      <c r="C14" s="144">
        <v>28</v>
      </c>
      <c r="D14" t="s">
        <v>1404</v>
      </c>
      <c r="E14" s="81"/>
      <c r="F14" s="158">
        <v>47</v>
      </c>
      <c r="G14" s="6"/>
      <c r="H14" s="171">
        <f>SUM(F14+J14)</f>
        <v>11.740000000000002</v>
      </c>
      <c r="I14" s="83"/>
      <c r="J14">
        <v>-35.26</v>
      </c>
    </row>
    <row r="15" spans="2:10" x14ac:dyDescent="0.15">
      <c r="E15" s="84"/>
      <c r="F15" s="85"/>
      <c r="G15" s="85"/>
      <c r="H15" s="85"/>
      <c r="I15" s="86"/>
    </row>
    <row r="16" spans="2:10" x14ac:dyDescent="0.15">
      <c r="B16" s="71" t="s">
        <v>1405</v>
      </c>
      <c r="C16" s="226" t="s">
        <v>1406</v>
      </c>
      <c r="D16" s="226"/>
    </row>
    <row r="18" spans="2:9" x14ac:dyDescent="0.15">
      <c r="B18" s="71" t="s">
        <v>1407</v>
      </c>
      <c r="C18" s="226" t="s">
        <v>1408</v>
      </c>
      <c r="D18" s="226"/>
    </row>
    <row r="20" spans="2:9" x14ac:dyDescent="0.15">
      <c r="B20" s="226" t="s">
        <v>1409</v>
      </c>
      <c r="C20" s="226"/>
      <c r="D20" s="226"/>
      <c r="E20" s="226"/>
    </row>
    <row r="21" spans="2:9" x14ac:dyDescent="0.15">
      <c r="B21" s="245" t="s">
        <v>1410</v>
      </c>
      <c r="C21" s="226"/>
      <c r="D21" s="226"/>
      <c r="E21" s="226"/>
      <c r="F21" s="226"/>
      <c r="G21" s="226"/>
      <c r="H21" s="226"/>
      <c r="I21" s="226"/>
    </row>
    <row r="22" spans="2:9" x14ac:dyDescent="0.15">
      <c r="B22" s="226" t="s">
        <v>1411</v>
      </c>
      <c r="C22" s="226"/>
      <c r="D22" s="71" t="s">
        <v>1412</v>
      </c>
      <c r="E22" s="143" t="s">
        <v>1413</v>
      </c>
      <c r="F22" s="247" t="s">
        <v>1414</v>
      </c>
      <c r="G22" s="226"/>
      <c r="H22" s="226"/>
    </row>
    <row r="23" spans="2:9" x14ac:dyDescent="0.15">
      <c r="B23" s="245" t="s">
        <v>1410</v>
      </c>
      <c r="C23" s="226"/>
      <c r="D23" s="226"/>
      <c r="E23" s="226"/>
      <c r="F23" s="226"/>
      <c r="G23" s="226"/>
      <c r="H23" s="226"/>
      <c r="I23" s="226"/>
    </row>
    <row r="24" spans="2:9" x14ac:dyDescent="0.15">
      <c r="B24" s="226" t="s">
        <v>1415</v>
      </c>
      <c r="C24" s="226"/>
      <c r="D24" s="226"/>
      <c r="E24" s="226"/>
      <c r="F24" s="226"/>
      <c r="G24" s="226"/>
      <c r="H24" s="226"/>
    </row>
    <row r="25" spans="2:9" x14ac:dyDescent="0.15">
      <c r="B25" s="245" t="s">
        <v>1416</v>
      </c>
      <c r="C25" s="226"/>
      <c r="D25" s="226"/>
      <c r="E25" s="226"/>
      <c r="F25" s="226"/>
      <c r="G25" s="226"/>
      <c r="H25" s="226"/>
      <c r="I25" s="226"/>
    </row>
    <row r="26" spans="2:9" x14ac:dyDescent="0.15">
      <c r="B26" s="226" t="s">
        <v>1417</v>
      </c>
      <c r="C26" s="226"/>
    </row>
    <row r="27" spans="2:9" x14ac:dyDescent="0.15">
      <c r="B27" s="245" t="s">
        <v>1418</v>
      </c>
      <c r="C27" s="226"/>
      <c r="D27" s="226"/>
      <c r="E27" s="226"/>
      <c r="F27" s="226"/>
      <c r="G27" s="226"/>
      <c r="H27" s="226"/>
      <c r="I27" s="226"/>
    </row>
    <row r="28" spans="2:9" x14ac:dyDescent="0.15">
      <c r="B28" s="226" t="s">
        <v>1419</v>
      </c>
      <c r="C28" s="226"/>
      <c r="D28" s="226"/>
      <c r="E28" s="226"/>
      <c r="F28" s="226"/>
      <c r="G28" s="226"/>
      <c r="H28" s="226"/>
    </row>
    <row r="30" spans="2:9" x14ac:dyDescent="0.15">
      <c r="B30" s="226" t="s">
        <v>1420</v>
      </c>
      <c r="C30" s="226"/>
      <c r="D30" s="226"/>
      <c r="E30" s="226"/>
      <c r="F30" s="226"/>
      <c r="G30" s="226"/>
      <c r="H30" s="226"/>
    </row>
    <row r="32" spans="2:9" x14ac:dyDescent="0.15">
      <c r="B32" s="226" t="s">
        <v>1421</v>
      </c>
      <c r="C32" s="226"/>
      <c r="D32" s="226"/>
      <c r="E32" s="226"/>
      <c r="F32" s="226"/>
      <c r="G32" s="226"/>
      <c r="H32" s="226"/>
    </row>
    <row r="34" spans="2:8" x14ac:dyDescent="0.15">
      <c r="B34" s="226" t="s">
        <v>1422</v>
      </c>
      <c r="C34" s="226"/>
      <c r="D34" s="226"/>
      <c r="E34" s="226"/>
      <c r="F34" s="226"/>
      <c r="G34" s="226"/>
      <c r="H34" s="226"/>
    </row>
  </sheetData>
  <mergeCells count="23">
    <mergeCell ref="B8:I8"/>
    <mergeCell ref="B2:I2"/>
    <mergeCell ref="B3:C3"/>
    <mergeCell ref="C4:E4"/>
    <mergeCell ref="B6:E6"/>
    <mergeCell ref="F6:I6"/>
    <mergeCell ref="B26:C26"/>
    <mergeCell ref="F10:H10"/>
    <mergeCell ref="E12:G12"/>
    <mergeCell ref="C16:D16"/>
    <mergeCell ref="C18:D18"/>
    <mergeCell ref="B20:E20"/>
    <mergeCell ref="B21:I21"/>
    <mergeCell ref="B22:C22"/>
    <mergeCell ref="F22:H22"/>
    <mergeCell ref="B23:I23"/>
    <mergeCell ref="B24:H24"/>
    <mergeCell ref="B25:I25"/>
    <mergeCell ref="B27:I27"/>
    <mergeCell ref="B28:H28"/>
    <mergeCell ref="B30:H30"/>
    <mergeCell ref="B32:H32"/>
    <mergeCell ref="B34:H34"/>
  </mergeCells>
  <phoneticPr fontId="1"/>
  <hyperlinks>
    <hyperlink ref="C4" r:id="rId1"/>
    <hyperlink ref="F6" r:id="rId2"/>
    <hyperlink ref="B23" r:id="rId3"/>
    <hyperlink ref="B27" r:id="rId4"/>
    <hyperlink ref="B21" r:id="rId5"/>
    <hyperlink ref="B25" r:id="rId6"/>
  </hyperlink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R60"/>
  <sheetViews>
    <sheetView workbookViewId="0">
      <selection activeCell="R1" sqref="R1"/>
    </sheetView>
  </sheetViews>
  <sheetFormatPr defaultRowHeight="13.5" x14ac:dyDescent="0.15"/>
  <cols>
    <col min="2" max="2" width="10.625" customWidth="1"/>
    <col min="3" max="3" width="5.625" customWidth="1"/>
    <col min="4" max="4" width="10.625" customWidth="1"/>
    <col min="5" max="5" width="5.625" customWidth="1"/>
    <col min="6" max="7" width="10.625" customWidth="1"/>
    <col min="8" max="8" width="5.625" customWidth="1"/>
    <col min="9" max="9" width="10.625" customWidth="1"/>
    <col min="10" max="10" width="5.625" customWidth="1"/>
    <col min="11" max="11" width="10.625" customWidth="1"/>
    <col min="12" max="12" width="1.375" customWidth="1"/>
    <col min="13" max="13" width="15.625" customWidth="1"/>
    <col min="14" max="16" width="11.625" customWidth="1"/>
    <col min="17" max="17" width="3.625" customWidth="1"/>
    <col min="18" max="18" width="10.625" customWidth="1"/>
  </cols>
  <sheetData>
    <row r="1" spans="2:18" x14ac:dyDescent="0.15">
      <c r="R1" s="222" t="s">
        <v>1526</v>
      </c>
    </row>
    <row r="2" spans="2:18" ht="14.25" x14ac:dyDescent="0.15">
      <c r="B2" s="249" t="s">
        <v>1517</v>
      </c>
      <c r="C2" s="230"/>
      <c r="D2" s="230"/>
      <c r="E2" s="230"/>
      <c r="F2" s="230"/>
      <c r="G2" s="230"/>
      <c r="H2" s="230"/>
      <c r="I2" s="230"/>
      <c r="J2" s="230"/>
      <c r="K2" s="230"/>
    </row>
    <row r="4" spans="2:18" ht="15" thickBot="1" x14ac:dyDescent="0.2">
      <c r="C4" s="203" t="s">
        <v>1525</v>
      </c>
      <c r="G4" s="201" t="s">
        <v>1518</v>
      </c>
      <c r="I4" s="201" t="s">
        <v>1520</v>
      </c>
      <c r="K4" s="201" t="s">
        <v>1519</v>
      </c>
    </row>
    <row r="5" spans="2:18" ht="15" thickBot="1" x14ac:dyDescent="0.2">
      <c r="G5" s="9">
        <v>10</v>
      </c>
      <c r="I5" s="9">
        <v>1000</v>
      </c>
      <c r="K5" s="10">
        <f>G5*I5</f>
        <v>10000</v>
      </c>
      <c r="N5" s="203" t="s">
        <v>1549</v>
      </c>
    </row>
    <row r="6" spans="2:18" x14ac:dyDescent="0.15">
      <c r="N6" t="s">
        <v>1552</v>
      </c>
    </row>
    <row r="7" spans="2:18" ht="14.25" thickBot="1" x14ac:dyDescent="0.2">
      <c r="G7" s="201" t="s">
        <v>1518</v>
      </c>
      <c r="I7" s="201" t="s">
        <v>1519</v>
      </c>
      <c r="K7" s="201" t="s">
        <v>1520</v>
      </c>
      <c r="N7" t="s">
        <v>1550</v>
      </c>
    </row>
    <row r="8" spans="2:18" ht="14.25" thickBot="1" x14ac:dyDescent="0.2">
      <c r="G8" s="9">
        <v>10</v>
      </c>
      <c r="I8" s="9">
        <v>1000</v>
      </c>
      <c r="K8" s="10">
        <f>I8/G8</f>
        <v>100</v>
      </c>
      <c r="N8" t="s">
        <v>1551</v>
      </c>
    </row>
    <row r="10" spans="2:18" ht="14.25" thickBot="1" x14ac:dyDescent="0.2">
      <c r="G10" s="201" t="s">
        <v>1520</v>
      </c>
      <c r="I10" s="201" t="s">
        <v>1519</v>
      </c>
      <c r="K10" s="201" t="s">
        <v>1518</v>
      </c>
      <c r="N10" s="204" t="s">
        <v>1555</v>
      </c>
      <c r="O10" s="204" t="s">
        <v>1553</v>
      </c>
      <c r="P10" s="204" t="s">
        <v>1554</v>
      </c>
      <c r="R10" s="204" t="s">
        <v>1520</v>
      </c>
    </row>
    <row r="11" spans="2:18" ht="14.25" thickBot="1" x14ac:dyDescent="0.2">
      <c r="G11" s="9">
        <v>10</v>
      </c>
      <c r="I11" s="9">
        <v>1000</v>
      </c>
      <c r="K11" s="10">
        <f>I11/G11</f>
        <v>100</v>
      </c>
      <c r="N11" s="9">
        <v>0.1</v>
      </c>
      <c r="O11" s="9">
        <v>10</v>
      </c>
      <c r="P11" s="9">
        <v>0.05</v>
      </c>
      <c r="R11" s="10">
        <f>N11*(O11/P11)</f>
        <v>20</v>
      </c>
    </row>
    <row r="13" spans="2:18" ht="14.25" x14ac:dyDescent="0.15">
      <c r="B13" s="203" t="s">
        <v>1521</v>
      </c>
    </row>
    <row r="15" spans="2:18" ht="14.25" thickBot="1" x14ac:dyDescent="0.2">
      <c r="B15" s="201" t="s">
        <v>1518</v>
      </c>
      <c r="D15" s="201" t="s">
        <v>1519</v>
      </c>
      <c r="F15" s="201" t="s">
        <v>1522</v>
      </c>
      <c r="G15" s="201" t="s">
        <v>1523</v>
      </c>
    </row>
    <row r="16" spans="2:18" ht="14.25" thickBot="1" x14ac:dyDescent="0.2">
      <c r="B16" s="9">
        <v>10</v>
      </c>
      <c r="D16" s="9">
        <v>1000</v>
      </c>
      <c r="F16" s="10">
        <f>B16*D16</f>
        <v>10000</v>
      </c>
      <c r="G16" s="10">
        <f>F16/1000</f>
        <v>10</v>
      </c>
    </row>
    <row r="18" spans="2:7" ht="14.25" thickBot="1" x14ac:dyDescent="0.2">
      <c r="B18" s="201" t="s">
        <v>1518</v>
      </c>
      <c r="D18" s="201" t="s">
        <v>1520</v>
      </c>
      <c r="F18" s="201" t="s">
        <v>1522</v>
      </c>
      <c r="G18" s="201" t="s">
        <v>1523</v>
      </c>
    </row>
    <row r="19" spans="2:7" ht="14.25" thickBot="1" x14ac:dyDescent="0.2">
      <c r="B19" s="9">
        <v>10</v>
      </c>
      <c r="D19" s="9">
        <v>1000</v>
      </c>
      <c r="F19" s="10">
        <f>B19*B19*D19</f>
        <v>100000</v>
      </c>
      <c r="G19" s="10">
        <f>F19/1000</f>
        <v>100</v>
      </c>
    </row>
    <row r="20" spans="2:7" ht="14.25" thickBot="1" x14ac:dyDescent="0.2">
      <c r="B20" s="201" t="s">
        <v>1518</v>
      </c>
      <c r="D20" s="201" t="s">
        <v>1524</v>
      </c>
      <c r="F20" s="201" t="s">
        <v>1522</v>
      </c>
      <c r="G20" s="201" t="s">
        <v>1523</v>
      </c>
    </row>
    <row r="21" spans="2:7" ht="14.25" thickBot="1" x14ac:dyDescent="0.2">
      <c r="B21" s="9">
        <v>10</v>
      </c>
      <c r="D21" s="9">
        <v>1</v>
      </c>
      <c r="F21" s="10">
        <f>B21*B21*(D21*1000)</f>
        <v>100000</v>
      </c>
      <c r="G21" s="10">
        <f>F21/1000</f>
        <v>100</v>
      </c>
    </row>
    <row r="23" spans="2:7" ht="14.25" thickBot="1" x14ac:dyDescent="0.2">
      <c r="B23" s="201" t="s">
        <v>1519</v>
      </c>
      <c r="D23" s="201" t="s">
        <v>1520</v>
      </c>
      <c r="F23" s="201" t="s">
        <v>1522</v>
      </c>
      <c r="G23" s="201" t="s">
        <v>1523</v>
      </c>
    </row>
    <row r="24" spans="2:7" ht="14.25" thickBot="1" x14ac:dyDescent="0.2">
      <c r="B24" s="9">
        <v>1000</v>
      </c>
      <c r="D24" s="9">
        <v>1000</v>
      </c>
      <c r="F24" s="10">
        <f>B24/D24</f>
        <v>1</v>
      </c>
      <c r="G24" s="10">
        <f>F24/1000</f>
        <v>1E-3</v>
      </c>
    </row>
    <row r="25" spans="2:7" ht="14.25" thickBot="1" x14ac:dyDescent="0.2">
      <c r="B25" s="201" t="s">
        <v>1519</v>
      </c>
      <c r="D25" s="201" t="s">
        <v>1524</v>
      </c>
      <c r="F25" s="201" t="s">
        <v>1522</v>
      </c>
      <c r="G25" s="201" t="s">
        <v>1523</v>
      </c>
    </row>
    <row r="26" spans="2:7" ht="14.25" thickBot="1" x14ac:dyDescent="0.2">
      <c r="B26" s="9">
        <v>1000</v>
      </c>
      <c r="D26" s="9">
        <v>1</v>
      </c>
      <c r="F26" s="10">
        <f>B26/(D26*1000)</f>
        <v>1</v>
      </c>
      <c r="G26" s="10">
        <f>F26/1000</f>
        <v>1E-3</v>
      </c>
    </row>
    <row r="29" spans="2:7" ht="14.25" x14ac:dyDescent="0.15">
      <c r="B29" s="203" t="s">
        <v>1527</v>
      </c>
    </row>
    <row r="31" spans="2:7" ht="14.25" thickBot="1" x14ac:dyDescent="0.2">
      <c r="B31" s="201" t="s">
        <v>1529</v>
      </c>
      <c r="D31" s="201" t="s">
        <v>1528</v>
      </c>
    </row>
    <row r="32" spans="2:7" ht="14.25" thickBot="1" x14ac:dyDescent="0.2">
      <c r="B32" s="9">
        <v>1000</v>
      </c>
      <c r="D32" s="10">
        <f>1/B32</f>
        <v>1E-3</v>
      </c>
    </row>
    <row r="33" spans="2:11" ht="14.25" thickBot="1" x14ac:dyDescent="0.2">
      <c r="B33" s="201" t="s">
        <v>1530</v>
      </c>
      <c r="D33" s="201" t="s">
        <v>1528</v>
      </c>
    </row>
    <row r="34" spans="2:11" ht="14.25" thickBot="1" x14ac:dyDescent="0.2">
      <c r="B34" s="9">
        <v>1</v>
      </c>
      <c r="D34" s="10">
        <f>1/B34/1000</f>
        <v>1E-3</v>
      </c>
    </row>
    <row r="35" spans="2:11" ht="14.25" thickBot="1" x14ac:dyDescent="0.2">
      <c r="B35" s="201" t="s">
        <v>1531</v>
      </c>
      <c r="D35" s="201" t="s">
        <v>1528</v>
      </c>
    </row>
    <row r="36" spans="2:11" ht="14.25" thickBot="1" x14ac:dyDescent="0.2">
      <c r="B36" s="9">
        <v>1E-3</v>
      </c>
      <c r="D36" s="10">
        <f>1/B36/1000000</f>
        <v>1E-3</v>
      </c>
    </row>
    <row r="41" spans="2:11" ht="14.25" x14ac:dyDescent="0.15">
      <c r="B41" s="203" t="s">
        <v>1534</v>
      </c>
      <c r="I41" s="12" t="s">
        <v>1541</v>
      </c>
    </row>
    <row r="42" spans="2:11" x14ac:dyDescent="0.15">
      <c r="I42" t="s">
        <v>1545</v>
      </c>
    </row>
    <row r="43" spans="2:11" ht="14.25" thickBot="1" x14ac:dyDescent="0.2">
      <c r="B43" s="201" t="s">
        <v>1529</v>
      </c>
      <c r="D43" s="201" t="s">
        <v>1532</v>
      </c>
      <c r="F43" s="201" t="s">
        <v>1533</v>
      </c>
      <c r="I43" s="202" t="s">
        <v>1532</v>
      </c>
      <c r="K43" s="202" t="s">
        <v>1542</v>
      </c>
    </row>
    <row r="44" spans="2:11" ht="14.25" thickBot="1" x14ac:dyDescent="0.2">
      <c r="B44" s="9">
        <v>1000</v>
      </c>
      <c r="D44" s="10">
        <f>299792458/B44</f>
        <v>299792.45799999998</v>
      </c>
      <c r="F44" s="10">
        <f>D44/4</f>
        <v>74948.114499999996</v>
      </c>
      <c r="I44" s="9">
        <v>0.23</v>
      </c>
      <c r="K44" s="10">
        <f>I44/PI()</f>
        <v>7.3211273822271855E-2</v>
      </c>
    </row>
    <row r="45" spans="2:11" ht="14.25" thickBot="1" x14ac:dyDescent="0.2">
      <c r="B45" s="201" t="s">
        <v>1530</v>
      </c>
      <c r="D45" s="201" t="s">
        <v>1532</v>
      </c>
      <c r="F45" s="201" t="s">
        <v>1533</v>
      </c>
    </row>
    <row r="46" spans="2:11" ht="14.25" thickBot="1" x14ac:dyDescent="0.2">
      <c r="B46" s="9">
        <v>1</v>
      </c>
      <c r="D46" s="10">
        <f>299792458/B46/1000</f>
        <v>299792.45799999998</v>
      </c>
      <c r="F46" s="10">
        <f>D46/4</f>
        <v>74948.114499999996</v>
      </c>
      <c r="I46" t="s">
        <v>1544</v>
      </c>
    </row>
    <row r="47" spans="2:11" ht="14.25" thickBot="1" x14ac:dyDescent="0.2">
      <c r="B47" s="201" t="s">
        <v>1531</v>
      </c>
      <c r="D47" s="201" t="s">
        <v>1532</v>
      </c>
      <c r="F47" s="201" t="s">
        <v>1533</v>
      </c>
      <c r="I47" s="202" t="s">
        <v>1532</v>
      </c>
      <c r="K47" s="202" t="s">
        <v>1543</v>
      </c>
    </row>
    <row r="48" spans="2:11" ht="14.25" thickBot="1" x14ac:dyDescent="0.2">
      <c r="B48" s="9">
        <v>1257.5</v>
      </c>
      <c r="D48" s="10">
        <f>299792458/B48/1000000</f>
        <v>0.23840354512922465</v>
      </c>
      <c r="F48" s="10">
        <f>D48/4</f>
        <v>5.9600886282306163E-2</v>
      </c>
      <c r="I48" s="9">
        <v>0.23</v>
      </c>
      <c r="K48" s="10">
        <f>I48/2*PI()</f>
        <v>0.36128315516282622</v>
      </c>
    </row>
    <row r="51" spans="2:13" x14ac:dyDescent="0.15">
      <c r="B51" s="12" t="s">
        <v>1538</v>
      </c>
      <c r="I51" s="12" t="s">
        <v>1547</v>
      </c>
    </row>
    <row r="53" spans="2:13" ht="14.25" thickBot="1" x14ac:dyDescent="0.2">
      <c r="B53" s="201" t="s">
        <v>1536</v>
      </c>
      <c r="D53" s="201" t="s">
        <v>1537</v>
      </c>
      <c r="F53" s="201" t="s">
        <v>1535</v>
      </c>
      <c r="I53" s="202" t="s">
        <v>1537</v>
      </c>
      <c r="K53" s="202" t="s">
        <v>1539</v>
      </c>
      <c r="M53" s="202" t="s">
        <v>1548</v>
      </c>
    </row>
    <row r="54" spans="2:13" ht="14.25" thickBot="1" x14ac:dyDescent="0.2">
      <c r="B54" s="9">
        <v>1</v>
      </c>
      <c r="D54" s="9">
        <v>1</v>
      </c>
      <c r="F54" s="10">
        <f>2*(PI())*B54*D54</f>
        <v>6.2831853071795862</v>
      </c>
      <c r="I54" s="9">
        <v>2</v>
      </c>
      <c r="K54" s="9">
        <v>2</v>
      </c>
      <c r="L54">
        <f>I54*K54</f>
        <v>4</v>
      </c>
      <c r="M54" s="10">
        <f>1/(2*PI()*SQRT(L54))</f>
        <v>7.9577471545947673E-2</v>
      </c>
    </row>
    <row r="56" spans="2:13" x14ac:dyDescent="0.15">
      <c r="D56" s="250"/>
      <c r="E56" s="226"/>
    </row>
    <row r="57" spans="2:13" x14ac:dyDescent="0.15">
      <c r="B57" s="12" t="s">
        <v>1546</v>
      </c>
    </row>
    <row r="58" spans="2:13" x14ac:dyDescent="0.15">
      <c r="D58" s="229"/>
      <c r="E58" s="226"/>
    </row>
    <row r="59" spans="2:13" ht="14.25" thickBot="1" x14ac:dyDescent="0.2">
      <c r="B59" s="201" t="s">
        <v>1536</v>
      </c>
      <c r="D59" s="201" t="s">
        <v>1539</v>
      </c>
      <c r="F59" s="201" t="s">
        <v>1540</v>
      </c>
    </row>
    <row r="60" spans="2:13" ht="14.25" thickBot="1" x14ac:dyDescent="0.2">
      <c r="B60" s="9">
        <v>1</v>
      </c>
      <c r="D60" s="9">
        <v>1</v>
      </c>
      <c r="F60" s="10">
        <f>1/2*(PI())*B60*D60</f>
        <v>1.5707963267948966</v>
      </c>
    </row>
  </sheetData>
  <mergeCells count="3">
    <mergeCell ref="B2:K2"/>
    <mergeCell ref="D56:E56"/>
    <mergeCell ref="D58:E58"/>
  </mergeCells>
  <phoneticPr fontId="1"/>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0"/>
  <sheetViews>
    <sheetView topLeftCell="A31" workbookViewId="0">
      <selection activeCell="A35" sqref="A35:A43"/>
    </sheetView>
  </sheetViews>
  <sheetFormatPr defaultRowHeight="13.5" x14ac:dyDescent="0.15"/>
  <cols>
    <col min="1" max="1" width="18.25" customWidth="1"/>
    <col min="2" max="2" width="25" customWidth="1"/>
  </cols>
  <sheetData>
    <row r="1" spans="1:2" ht="17.100000000000001" customHeight="1" x14ac:dyDescent="0.15">
      <c r="A1" s="254" t="s">
        <v>1509</v>
      </c>
      <c r="B1" s="255"/>
    </row>
    <row r="2" spans="1:2" ht="17.100000000000001" customHeight="1" x14ac:dyDescent="0.15">
      <c r="A2" s="251" t="s">
        <v>1214</v>
      </c>
      <c r="B2" s="195" t="s">
        <v>1441</v>
      </c>
    </row>
    <row r="3" spans="1:2" ht="17.100000000000001" customHeight="1" x14ac:dyDescent="0.15">
      <c r="A3" s="252"/>
      <c r="B3" s="196" t="s">
        <v>1442</v>
      </c>
    </row>
    <row r="4" spans="1:2" ht="17.100000000000001" customHeight="1" x14ac:dyDescent="0.15">
      <c r="A4" s="252"/>
      <c r="B4" s="196" t="s">
        <v>1443</v>
      </c>
    </row>
    <row r="5" spans="1:2" ht="17.100000000000001" customHeight="1" x14ac:dyDescent="0.15">
      <c r="A5" s="252"/>
      <c r="B5" s="196" t="s">
        <v>1444</v>
      </c>
    </row>
    <row r="6" spans="1:2" ht="17.100000000000001" customHeight="1" x14ac:dyDescent="0.15">
      <c r="A6" s="252"/>
      <c r="B6" s="196" t="s">
        <v>1445</v>
      </c>
    </row>
    <row r="7" spans="1:2" ht="17.100000000000001" customHeight="1" x14ac:dyDescent="0.15">
      <c r="A7" s="252"/>
      <c r="B7" s="196" t="s">
        <v>1446</v>
      </c>
    </row>
    <row r="8" spans="1:2" ht="17.100000000000001" customHeight="1" x14ac:dyDescent="0.15">
      <c r="A8" s="252"/>
      <c r="B8" s="196" t="s">
        <v>1447</v>
      </c>
    </row>
    <row r="9" spans="1:2" ht="17.100000000000001" customHeight="1" x14ac:dyDescent="0.15">
      <c r="A9" s="252"/>
      <c r="B9" s="197" t="s">
        <v>1448</v>
      </c>
    </row>
    <row r="10" spans="1:2" ht="17.100000000000001" customHeight="1" x14ac:dyDescent="0.15">
      <c r="A10" s="253"/>
      <c r="B10" s="198"/>
    </row>
    <row r="11" spans="1:2" ht="17.100000000000001" customHeight="1" x14ac:dyDescent="0.15">
      <c r="A11" s="251" t="s">
        <v>1449</v>
      </c>
      <c r="B11" s="195" t="s">
        <v>1450</v>
      </c>
    </row>
    <row r="12" spans="1:2" ht="17.100000000000001" customHeight="1" x14ac:dyDescent="0.15">
      <c r="A12" s="252"/>
      <c r="B12" s="196" t="s">
        <v>1451</v>
      </c>
    </row>
    <row r="13" spans="1:2" ht="17.100000000000001" customHeight="1" x14ac:dyDescent="0.15">
      <c r="A13" s="252"/>
      <c r="B13" s="196" t="s">
        <v>1452</v>
      </c>
    </row>
    <row r="14" spans="1:2" ht="17.100000000000001" customHeight="1" x14ac:dyDescent="0.15">
      <c r="A14" s="252"/>
      <c r="B14" s="196" t="s">
        <v>1453</v>
      </c>
    </row>
    <row r="15" spans="1:2" ht="17.100000000000001" customHeight="1" x14ac:dyDescent="0.15">
      <c r="A15" s="252"/>
      <c r="B15" s="196" t="s">
        <v>1454</v>
      </c>
    </row>
    <row r="16" spans="1:2" ht="17.100000000000001" customHeight="1" x14ac:dyDescent="0.15">
      <c r="A16" s="252"/>
      <c r="B16" s="196" t="s">
        <v>1455</v>
      </c>
    </row>
    <row r="17" spans="1:2" ht="17.100000000000001" customHeight="1" x14ac:dyDescent="0.15">
      <c r="A17" s="252"/>
      <c r="B17" s="197" t="s">
        <v>1456</v>
      </c>
    </row>
    <row r="18" spans="1:2" ht="17.100000000000001" customHeight="1" x14ac:dyDescent="0.15">
      <c r="A18" s="253"/>
      <c r="B18" s="198"/>
    </row>
    <row r="19" spans="1:2" ht="17.100000000000001" customHeight="1" x14ac:dyDescent="0.15">
      <c r="A19" s="251" t="s">
        <v>1013</v>
      </c>
      <c r="B19" s="195" t="s">
        <v>1457</v>
      </c>
    </row>
    <row r="20" spans="1:2" ht="17.100000000000001" customHeight="1" x14ac:dyDescent="0.15">
      <c r="A20" s="252"/>
      <c r="B20" s="196" t="s">
        <v>1458</v>
      </c>
    </row>
    <row r="21" spans="1:2" ht="17.100000000000001" customHeight="1" x14ac:dyDescent="0.15">
      <c r="A21" s="252"/>
      <c r="B21" s="196" t="s">
        <v>1459</v>
      </c>
    </row>
    <row r="22" spans="1:2" ht="17.100000000000001" customHeight="1" x14ac:dyDescent="0.15">
      <c r="A22" s="252"/>
      <c r="B22" s="196" t="s">
        <v>1460</v>
      </c>
    </row>
    <row r="23" spans="1:2" ht="17.100000000000001" customHeight="1" x14ac:dyDescent="0.15">
      <c r="A23" s="252"/>
      <c r="B23" s="196" t="s">
        <v>1461</v>
      </c>
    </row>
    <row r="24" spans="1:2" ht="17.100000000000001" customHeight="1" x14ac:dyDescent="0.15">
      <c r="A24" s="252"/>
      <c r="B24" s="196" t="s">
        <v>1462</v>
      </c>
    </row>
    <row r="25" spans="1:2" ht="17.100000000000001" customHeight="1" x14ac:dyDescent="0.15">
      <c r="A25" s="252"/>
      <c r="B25" s="197" t="s">
        <v>1456</v>
      </c>
    </row>
    <row r="26" spans="1:2" ht="17.100000000000001" customHeight="1" x14ac:dyDescent="0.15">
      <c r="A26" s="253"/>
      <c r="B26" s="198"/>
    </row>
    <row r="27" spans="1:2" ht="17.100000000000001" customHeight="1" x14ac:dyDescent="0.15">
      <c r="A27" s="251" t="s">
        <v>1463</v>
      </c>
      <c r="B27" s="195" t="s">
        <v>1464</v>
      </c>
    </row>
    <row r="28" spans="1:2" ht="17.100000000000001" customHeight="1" x14ac:dyDescent="0.15">
      <c r="A28" s="252"/>
      <c r="B28" s="196" t="s">
        <v>1465</v>
      </c>
    </row>
    <row r="29" spans="1:2" ht="17.100000000000001" customHeight="1" x14ac:dyDescent="0.15">
      <c r="A29" s="252"/>
      <c r="B29" s="196" t="s">
        <v>1466</v>
      </c>
    </row>
    <row r="30" spans="1:2" ht="17.100000000000001" customHeight="1" x14ac:dyDescent="0.15">
      <c r="A30" s="252"/>
      <c r="B30" s="196" t="s">
        <v>1467</v>
      </c>
    </row>
    <row r="31" spans="1:2" ht="17.100000000000001" customHeight="1" x14ac:dyDescent="0.15">
      <c r="A31" s="252"/>
      <c r="B31" s="196" t="s">
        <v>1468</v>
      </c>
    </row>
    <row r="32" spans="1:2" ht="17.100000000000001" customHeight="1" x14ac:dyDescent="0.15">
      <c r="A32" s="252"/>
      <c r="B32" s="196" t="s">
        <v>1469</v>
      </c>
    </row>
    <row r="33" spans="1:2" ht="17.100000000000001" customHeight="1" x14ac:dyDescent="0.15">
      <c r="A33" s="252"/>
      <c r="B33" s="197" t="s">
        <v>1456</v>
      </c>
    </row>
    <row r="34" spans="1:2" ht="17.100000000000001" customHeight="1" x14ac:dyDescent="0.15">
      <c r="A34" s="253"/>
      <c r="B34" s="198"/>
    </row>
    <row r="35" spans="1:2" ht="17.100000000000001" customHeight="1" x14ac:dyDescent="0.15">
      <c r="A35" s="251" t="s">
        <v>1558</v>
      </c>
      <c r="B35" s="195" t="s">
        <v>1470</v>
      </c>
    </row>
    <row r="36" spans="1:2" ht="17.100000000000001" customHeight="1" x14ac:dyDescent="0.15">
      <c r="A36" s="252"/>
      <c r="B36" s="196" t="s">
        <v>1471</v>
      </c>
    </row>
    <row r="37" spans="1:2" ht="17.100000000000001" customHeight="1" x14ac:dyDescent="0.15">
      <c r="A37" s="252"/>
      <c r="B37" s="196" t="s">
        <v>1472</v>
      </c>
    </row>
    <row r="38" spans="1:2" ht="17.100000000000001" customHeight="1" x14ac:dyDescent="0.15">
      <c r="A38" s="252"/>
      <c r="B38" s="196" t="s">
        <v>1473</v>
      </c>
    </row>
    <row r="39" spans="1:2" ht="17.100000000000001" customHeight="1" x14ac:dyDescent="0.15">
      <c r="A39" s="252"/>
      <c r="B39" s="196" t="s">
        <v>1474</v>
      </c>
    </row>
    <row r="40" spans="1:2" ht="17.100000000000001" customHeight="1" x14ac:dyDescent="0.15">
      <c r="A40" s="252"/>
      <c r="B40" s="196" t="s">
        <v>1475</v>
      </c>
    </row>
    <row r="41" spans="1:2" ht="17.100000000000001" customHeight="1" x14ac:dyDescent="0.15">
      <c r="A41" s="252"/>
      <c r="B41" s="196" t="s">
        <v>1476</v>
      </c>
    </row>
    <row r="42" spans="1:2" ht="17.100000000000001" customHeight="1" x14ac:dyDescent="0.15">
      <c r="A42" s="252"/>
      <c r="B42" s="197" t="s">
        <v>1448</v>
      </c>
    </row>
    <row r="43" spans="1:2" ht="17.100000000000001" customHeight="1" x14ac:dyDescent="0.15">
      <c r="A43" s="253"/>
      <c r="B43" s="198"/>
    </row>
    <row r="44" spans="1:2" ht="17.100000000000001" customHeight="1" x14ac:dyDescent="0.15">
      <c r="A44" s="251" t="s">
        <v>1274</v>
      </c>
      <c r="B44" s="195" t="s">
        <v>1477</v>
      </c>
    </row>
    <row r="45" spans="1:2" ht="17.100000000000001" customHeight="1" x14ac:dyDescent="0.15">
      <c r="A45" s="252"/>
      <c r="B45" s="196" t="s">
        <v>1478</v>
      </c>
    </row>
    <row r="46" spans="1:2" ht="17.100000000000001" customHeight="1" x14ac:dyDescent="0.15">
      <c r="A46" s="252"/>
      <c r="B46" s="196" t="s">
        <v>1479</v>
      </c>
    </row>
    <row r="47" spans="1:2" ht="17.100000000000001" customHeight="1" x14ac:dyDescent="0.15">
      <c r="A47" s="252"/>
      <c r="B47" s="196" t="s">
        <v>1480</v>
      </c>
    </row>
    <row r="48" spans="1:2" ht="17.100000000000001" customHeight="1" x14ac:dyDescent="0.15">
      <c r="A48" s="252"/>
      <c r="B48" s="196" t="s">
        <v>1481</v>
      </c>
    </row>
    <row r="49" spans="1:2" ht="17.100000000000001" customHeight="1" x14ac:dyDescent="0.15">
      <c r="A49" s="252"/>
      <c r="B49" s="196" t="s">
        <v>1482</v>
      </c>
    </row>
    <row r="50" spans="1:2" ht="17.100000000000001" customHeight="1" x14ac:dyDescent="0.15">
      <c r="A50" s="252"/>
      <c r="B50" s="197" t="s">
        <v>1456</v>
      </c>
    </row>
    <row r="51" spans="1:2" ht="17.100000000000001" customHeight="1" x14ac:dyDescent="0.15">
      <c r="A51" s="253"/>
      <c r="B51" s="198"/>
    </row>
    <row r="52" spans="1:2" ht="17.100000000000001" customHeight="1" x14ac:dyDescent="0.15">
      <c r="A52" s="251" t="s">
        <v>785</v>
      </c>
      <c r="B52" s="195" t="s">
        <v>1483</v>
      </c>
    </row>
    <row r="53" spans="1:2" ht="17.100000000000001" customHeight="1" x14ac:dyDescent="0.15">
      <c r="A53" s="252"/>
      <c r="B53" s="196" t="s">
        <v>1484</v>
      </c>
    </row>
    <row r="54" spans="1:2" ht="17.100000000000001" customHeight="1" x14ac:dyDescent="0.15">
      <c r="A54" s="252"/>
      <c r="B54" s="196" t="s">
        <v>1485</v>
      </c>
    </row>
    <row r="55" spans="1:2" ht="17.100000000000001" customHeight="1" x14ac:dyDescent="0.15">
      <c r="A55" s="252"/>
      <c r="B55" s="196" t="s">
        <v>1486</v>
      </c>
    </row>
    <row r="56" spans="1:2" ht="17.100000000000001" customHeight="1" x14ac:dyDescent="0.15">
      <c r="A56" s="252"/>
      <c r="B56" s="196" t="s">
        <v>1487</v>
      </c>
    </row>
    <row r="57" spans="1:2" ht="17.100000000000001" customHeight="1" x14ac:dyDescent="0.15">
      <c r="A57" s="252"/>
      <c r="B57" s="196" t="s">
        <v>1488</v>
      </c>
    </row>
    <row r="58" spans="1:2" ht="17.100000000000001" customHeight="1" x14ac:dyDescent="0.15">
      <c r="A58" s="252"/>
      <c r="B58" s="196" t="s">
        <v>1489</v>
      </c>
    </row>
    <row r="59" spans="1:2" ht="17.100000000000001" customHeight="1" x14ac:dyDescent="0.15">
      <c r="A59" s="252"/>
      <c r="B59" s="196" t="s">
        <v>1490</v>
      </c>
    </row>
    <row r="60" spans="1:2" ht="17.100000000000001" customHeight="1" x14ac:dyDescent="0.15">
      <c r="A60" s="252"/>
      <c r="B60" s="196" t="s">
        <v>1491</v>
      </c>
    </row>
    <row r="61" spans="1:2" ht="17.100000000000001" customHeight="1" x14ac:dyDescent="0.15">
      <c r="A61" s="252"/>
      <c r="B61" s="197" t="s">
        <v>1492</v>
      </c>
    </row>
    <row r="62" spans="1:2" ht="17.100000000000001" customHeight="1" x14ac:dyDescent="0.15">
      <c r="A62" s="253"/>
      <c r="B62" s="198"/>
    </row>
    <row r="63" spans="1:2" ht="17.100000000000001" customHeight="1" x14ac:dyDescent="0.15">
      <c r="A63" s="251" t="s">
        <v>892</v>
      </c>
      <c r="B63" s="195" t="s">
        <v>1493</v>
      </c>
    </row>
    <row r="64" spans="1:2" ht="17.100000000000001" customHeight="1" x14ac:dyDescent="0.15">
      <c r="A64" s="252"/>
      <c r="B64" s="196" t="s">
        <v>1494</v>
      </c>
    </row>
    <row r="65" spans="1:2" ht="17.100000000000001" customHeight="1" x14ac:dyDescent="0.15">
      <c r="A65" s="252"/>
      <c r="B65" s="196" t="s">
        <v>1495</v>
      </c>
    </row>
    <row r="66" spans="1:2" ht="17.100000000000001" customHeight="1" x14ac:dyDescent="0.15">
      <c r="A66" s="252"/>
      <c r="B66" s="196" t="s">
        <v>1496</v>
      </c>
    </row>
    <row r="67" spans="1:2" ht="17.100000000000001" customHeight="1" x14ac:dyDescent="0.15">
      <c r="A67" s="252"/>
      <c r="B67" s="196" t="s">
        <v>1497</v>
      </c>
    </row>
    <row r="68" spans="1:2" ht="17.100000000000001" customHeight="1" x14ac:dyDescent="0.15">
      <c r="A68" s="252"/>
      <c r="B68" s="197" t="s">
        <v>1498</v>
      </c>
    </row>
    <row r="69" spans="1:2" ht="17.100000000000001" customHeight="1" x14ac:dyDescent="0.15">
      <c r="A69" s="253"/>
      <c r="B69" s="198"/>
    </row>
    <row r="70" spans="1:2" ht="17.100000000000001" customHeight="1" x14ac:dyDescent="0.15">
      <c r="A70" s="251" t="s">
        <v>728</v>
      </c>
      <c r="B70" s="195" t="s">
        <v>1499</v>
      </c>
    </row>
    <row r="71" spans="1:2" ht="17.100000000000001" customHeight="1" x14ac:dyDescent="0.15">
      <c r="A71" s="252"/>
      <c r="B71" s="196" t="s">
        <v>1500</v>
      </c>
    </row>
    <row r="72" spans="1:2" ht="17.100000000000001" customHeight="1" x14ac:dyDescent="0.15">
      <c r="A72" s="252"/>
      <c r="B72" s="196" t="s">
        <v>1501</v>
      </c>
    </row>
    <row r="73" spans="1:2" ht="17.100000000000001" customHeight="1" x14ac:dyDescent="0.15">
      <c r="A73" s="252"/>
      <c r="B73" s="196" t="s">
        <v>1502</v>
      </c>
    </row>
    <row r="74" spans="1:2" ht="17.100000000000001" customHeight="1" x14ac:dyDescent="0.15">
      <c r="A74" s="252"/>
      <c r="B74" s="197" t="s">
        <v>1503</v>
      </c>
    </row>
    <row r="75" spans="1:2" ht="17.100000000000001" customHeight="1" x14ac:dyDescent="0.15">
      <c r="A75" s="253"/>
      <c r="B75" s="198"/>
    </row>
    <row r="76" spans="1:2" ht="17.100000000000001" customHeight="1" x14ac:dyDescent="0.15">
      <c r="A76" s="251" t="s">
        <v>1504</v>
      </c>
      <c r="B76" s="195" t="s">
        <v>1505</v>
      </c>
    </row>
    <row r="77" spans="1:2" ht="17.100000000000001" customHeight="1" x14ac:dyDescent="0.15">
      <c r="A77" s="252"/>
      <c r="B77" s="196" t="s">
        <v>1506</v>
      </c>
    </row>
    <row r="78" spans="1:2" ht="17.100000000000001" customHeight="1" x14ac:dyDescent="0.15">
      <c r="A78" s="252"/>
      <c r="B78" s="196" t="s">
        <v>1507</v>
      </c>
    </row>
    <row r="79" spans="1:2" ht="17.100000000000001" customHeight="1" x14ac:dyDescent="0.15">
      <c r="A79" s="252"/>
      <c r="B79" s="197" t="s">
        <v>1508</v>
      </c>
    </row>
    <row r="80" spans="1:2" ht="17.100000000000001" customHeight="1" x14ac:dyDescent="0.15">
      <c r="A80" s="253"/>
      <c r="B80" s="198"/>
    </row>
  </sheetData>
  <mergeCells count="11">
    <mergeCell ref="A44:A51"/>
    <mergeCell ref="A52:A62"/>
    <mergeCell ref="A63:A69"/>
    <mergeCell ref="A70:A75"/>
    <mergeCell ref="A76:A80"/>
    <mergeCell ref="A35:A43"/>
    <mergeCell ref="A1:B1"/>
    <mergeCell ref="A2:A10"/>
    <mergeCell ref="A11:A18"/>
    <mergeCell ref="A19:A26"/>
    <mergeCell ref="A27:A34"/>
  </mergeCells>
  <phoneticPr fontId="1"/>
  <hyperlinks>
    <hyperlink ref="A2" r:id="rId1" tooltip="文字列操作関数" display="http://excelfunction.pc-users.net/character/"/>
    <hyperlink ref="B2" r:id="rId2" tooltip="LEFT関数" display="http://excelfunction.pc-users.net/character/left.html"/>
    <hyperlink ref="B3" r:id="rId3" tooltip="RIGHT関数" display="http://excelfunction.pc-users.net/character/right.html"/>
    <hyperlink ref="B4" r:id="rId4" tooltip="MID関数" display="http://excelfunction.pc-users.net/character/mid.html"/>
    <hyperlink ref="B5" r:id="rId5" tooltip="REPLACE関数" display="http://excelfunction.pc-users.net/character/replace.html"/>
    <hyperlink ref="B6" r:id="rId6" tooltip="FIND関数" display="http://excelfunction.pc-users.net/character/find.html"/>
    <hyperlink ref="B7" r:id="rId7" tooltip="TRIM関数" display="http://excelfunction.pc-users.net/character/trim.html"/>
    <hyperlink ref="B8" r:id="rId8" tooltip="REPT関数" display="http://excelfunction.pc-users.net/character/rept.html"/>
    <hyperlink ref="A11" r:id="rId9" tooltip="日付・時刻関数" display="http://excelfunction.pc-users.net/date_time/"/>
    <hyperlink ref="B11" r:id="rId10" tooltip="DATE関数" display="http://excelfunction.pc-users.net/date_time/date.html"/>
    <hyperlink ref="B12" r:id="rId11" tooltip="TIME関数" display="http://excelfunction.pc-users.net/date_time/time.html"/>
    <hyperlink ref="B13" r:id="rId12" tooltip="YEAR関数" display="http://excelfunction.pc-users.net/date_time/year.html"/>
    <hyperlink ref="B14" r:id="rId13" tooltip="MONTH関数" display="http://excelfunction.pc-users.net/date_time/month.html"/>
    <hyperlink ref="B15" r:id="rId14" tooltip="DAY関数" display="http://excelfunction.pc-users.net/date_time/day.html"/>
    <hyperlink ref="B16" r:id="rId15" tooltip="DAY関数" display="http://excelfunction.pc-users.net/date_time/weekday.html"/>
    <hyperlink ref="A19" r:id="rId16" tooltip="統計関数" display="http://excelfunction.pc-users.net/statistics/"/>
    <hyperlink ref="B19" r:id="rId17" tooltip="AVERAGE関数" display="http://excelfunction.pc-users.net/statistics/average.html"/>
    <hyperlink ref="B20" r:id="rId18" tooltip="COUNT関数" display="http://excelfunction.pc-users.net/statistics/count.html"/>
    <hyperlink ref="B21" r:id="rId19" tooltip="COUNTIF関数" display="http://excelfunction.pc-users.net/statistics/countif.html"/>
    <hyperlink ref="B22" r:id="rId20" tooltip="MAX関数" display="http://excelfunction.pc-users.net/statistics/max.html"/>
    <hyperlink ref="B23" r:id="rId21" tooltip="MIN関数" display="http://excelfunction.pc-users.net/statistics/min.html"/>
    <hyperlink ref="B24" r:id="rId22" tooltip="RANK関数" display="http://excelfunction.pc-users.net/statistics/rank.html"/>
    <hyperlink ref="A27" r:id="rId23" tooltip="検索・行列関数" display="http://excelfunction.pc-users.net/search/"/>
    <hyperlink ref="B27" r:id="rId24" tooltip="VLOOKUP関数" display="http://excelfunction.pc-users.net/search/vlookup.html"/>
    <hyperlink ref="B28" r:id="rId25" tooltip="MATCH関数" display="http://excelfunction.pc-users.net/search/match.html"/>
    <hyperlink ref="B29" r:id="rId26" tooltip="OFFSET関数" display="http://excelfunction.pc-users.net/search/offset.html"/>
    <hyperlink ref="B30" r:id="rId27" tooltip="INDEX関数" display="http://excelfunction.pc-users.net/search/index_.html"/>
    <hyperlink ref="B31" r:id="rId28" tooltip="INDIRECT関数" display="http://excelfunction.pc-users.net/search/indirect.html"/>
    <hyperlink ref="B32" r:id="rId29" tooltip="ROW関数" display="http://excelfunction.pc-users.net/search/row.html"/>
    <hyperlink ref="A35" r:id="rId30" tooltip="数学・三角関数" display="http://excelfunction.pc-users.net/mathematics/"/>
    <hyperlink ref="B35" r:id="rId31" tooltip="SUM関数" display="http://excelfunction.pc-users.net/mathematics/sum.html"/>
    <hyperlink ref="B36" r:id="rId32" tooltip="SUMIF関数" display="http://excelfunction.pc-users.net/mathematics/sumif.html"/>
    <hyperlink ref="B37" r:id="rId33" tooltip="ABS関数" display="http://excelfunction.pc-users.net/mathematics/abs.html"/>
    <hyperlink ref="B38" r:id="rId34" tooltip="MOD関数" display="http://excelfunction.pc-users.net/mathematics/mod.html"/>
    <hyperlink ref="B39" r:id="rId35" tooltip="ROUND関数" display="http://excelfunction.pc-users.net/mathematics/round.html"/>
    <hyperlink ref="B40" r:id="rId36" tooltip="SUBTOTAL関数" display="http://excelfunction.pc-users.net/mathematics/subtotal.html"/>
    <hyperlink ref="B41" r:id="rId37" tooltip="TRUNC関数" display="http://excelfunction.pc-users.net/mathematics/trunc.html"/>
    <hyperlink ref="A44" r:id="rId38" tooltip="論理関数" display="http://excelfunction.pc-users.net/logic/"/>
    <hyperlink ref="B44" r:id="rId39" tooltip="AND関数" display="http://excelfunction.pc-users.net/logic/and.html"/>
    <hyperlink ref="B45" r:id="rId40" tooltip="OR関数" display="http://excelfunction.pc-users.net/logic/or.html"/>
    <hyperlink ref="B46" r:id="rId41" tooltip="IF関数" display="http://excelfunction.pc-users.net/logic/if.html"/>
    <hyperlink ref="B47" r:id="rId42" tooltip="TRUE関数" display="http://excelfunction.pc-users.net/logic/true.html"/>
    <hyperlink ref="B48" r:id="rId43" tooltip="FALSE関数" display="http://excelfunction.pc-users.net/logic/false.html"/>
    <hyperlink ref="B49" r:id="rId44" tooltip="NOT関数" display="http://excelfunction.pc-users.net/logic/not.html"/>
    <hyperlink ref="A52" r:id="rId45" tooltip="財務関数" display="http://excelfunction.pc-users.net/financial/"/>
    <hyperlink ref="B52" r:id="rId46" tooltip="DB関数" display="http://excelfunction.pc-users.net/financial/db.html"/>
    <hyperlink ref="B53" r:id="rId47" tooltip="SLN関数" display="http://excelfunction.pc-users.net/financial/sln.html"/>
    <hyperlink ref="B54" r:id="rId48" tooltip="SYD関数" display="http://excelfunction.pc-users.net/financial/syd.html"/>
    <hyperlink ref="B55" r:id="rId49" tooltip="VDB関数" display="http://excelfunction.pc-users.net/financial/vdb.html"/>
    <hyperlink ref="B56" r:id="rId50" tooltip="PV関数" display="http://excelfunction.pc-users.net/financial/pv.html"/>
    <hyperlink ref="B57" r:id="rId51" tooltip="FV関数" display="http://excelfunction.pc-users.net/financial/fv.html"/>
    <hyperlink ref="B58" r:id="rId52" tooltip="IPMT関数" display="http://excelfunction.pc-users.net/financial/ipmt.html"/>
    <hyperlink ref="B59" r:id="rId53" tooltip="IRR関数" display="http://excelfunction.pc-users.net/financial/irr.html"/>
    <hyperlink ref="B60" r:id="rId54" tooltip="NPV関数" display="http://excelfunction.pc-users.net/financial/npv.html"/>
    <hyperlink ref="A63" r:id="rId55" tooltip="情報関数" display="http://excelfunction.pc-users.net/information/"/>
    <hyperlink ref="B63" r:id="rId56" tooltip="ISERROR関数" display="http://excelfunction.pc-users.net/information/iserror.html"/>
    <hyperlink ref="B64" r:id="rId57" tooltip="CELLT関数" display="http://excelfunction.pc-users.net/information/cell.html"/>
    <hyperlink ref="B65" r:id="rId58" tooltip="ISTEXT関数" display="http://excelfunction.pc-users.net/information/istext.html"/>
    <hyperlink ref="B66" r:id="rId59" tooltip="ISNUMBER関数" display="http://excelfunction.pc-users.net/information/isnumber.html"/>
    <hyperlink ref="B67" r:id="rId60" tooltip="ISBLANK関数" display="http://excelfunction.pc-users.net/information/isblank.html"/>
    <hyperlink ref="A70" r:id="rId61" tooltip="エンジニアリング関数" display="http://excelfunction.pc-users.net/engineering/"/>
    <hyperlink ref="B70" r:id="rId62" tooltip="BIN2DEC関数" display="http://excelfunction.pc-users.net/engineering/bin2dec.html"/>
    <hyperlink ref="B71" r:id="rId63" tooltip="BIN2HEX関数" display="http://excelfunction.pc-users.net/engineering/bin2hex.html"/>
    <hyperlink ref="B72" r:id="rId64" tooltip="BIN2OCT関数" display="http://excelfunction.pc-users.net/engineering/bin2oct.html"/>
    <hyperlink ref="B73" r:id="rId65" tooltip="CONVERT関数" display="http://excelfunction.pc-users.net/engineering/convert.html"/>
    <hyperlink ref="A76" r:id="rId66" tooltip="キューブ関数" display="http://excelfunction.pc-users.net/cube/"/>
    <hyperlink ref="B76" r:id="rId67" tooltip="CUBEKPIMEMBER関数" display="http://excelfunction.pc-users.net/cube/cubekpimember.html"/>
    <hyperlink ref="B77" r:id="rId68" tooltip="CUBESET関数" display="http://excelfunction.pc-users.net/cube/cubeset.html"/>
    <hyperlink ref="B78" r:id="rId69" tooltip="CUBEVALUE関数" display="http://excelfunction.pc-users.net/cube/cubevalue.html"/>
  </hyperlink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3"/>
  <sheetViews>
    <sheetView workbookViewId="0">
      <selection activeCell="C9" sqref="C9"/>
    </sheetView>
  </sheetViews>
  <sheetFormatPr defaultRowHeight="13.5" x14ac:dyDescent="0.15"/>
  <cols>
    <col min="1" max="1" width="22.625" customWidth="1"/>
    <col min="2" max="2" width="36.25" customWidth="1"/>
    <col min="3" max="3" width="20.25" customWidth="1"/>
  </cols>
  <sheetData>
    <row r="1" spans="1:3" ht="22.5" x14ac:dyDescent="0.15">
      <c r="A1" s="17" t="s">
        <v>27</v>
      </c>
    </row>
    <row r="2" spans="1:3" ht="19.5" thickBot="1" x14ac:dyDescent="0.2">
      <c r="A2" s="18" t="s">
        <v>28</v>
      </c>
    </row>
    <row r="3" spans="1:3" ht="19.5" thickBot="1" x14ac:dyDescent="0.2">
      <c r="A3" s="26" t="s">
        <v>29</v>
      </c>
      <c r="B3" s="19" t="s">
        <v>30</v>
      </c>
      <c r="C3" s="19" t="s">
        <v>31</v>
      </c>
    </row>
    <row r="4" spans="1:3" ht="19.5" thickBot="1" x14ac:dyDescent="0.2">
      <c r="A4" s="256" t="s">
        <v>32</v>
      </c>
      <c r="B4" s="20" t="s">
        <v>33</v>
      </c>
      <c r="C4" s="21" t="s">
        <v>34</v>
      </c>
    </row>
    <row r="5" spans="1:3" ht="19.5" thickBot="1" x14ac:dyDescent="0.2">
      <c r="A5" s="258"/>
      <c r="B5" s="22" t="s">
        <v>35</v>
      </c>
      <c r="C5" s="23" t="s">
        <v>36</v>
      </c>
    </row>
    <row r="6" spans="1:3" ht="19.5" thickBot="1" x14ac:dyDescent="0.2">
      <c r="A6" s="258"/>
      <c r="B6" s="20" t="s">
        <v>37</v>
      </c>
      <c r="C6" s="21" t="s">
        <v>38</v>
      </c>
    </row>
    <row r="7" spans="1:3" ht="38.25" thickBot="1" x14ac:dyDescent="0.2">
      <c r="A7" s="257"/>
      <c r="B7" s="22" t="s">
        <v>39</v>
      </c>
      <c r="C7" s="22" t="s">
        <v>40</v>
      </c>
    </row>
    <row r="8" spans="1:3" ht="19.5" thickBot="1" x14ac:dyDescent="0.2">
      <c r="A8" s="259" t="s">
        <v>41</v>
      </c>
      <c r="B8" s="20" t="s">
        <v>42</v>
      </c>
      <c r="C8" s="20" t="s">
        <v>43</v>
      </c>
    </row>
    <row r="9" spans="1:3" ht="19.5" thickBot="1" x14ac:dyDescent="0.2">
      <c r="A9" s="261"/>
      <c r="B9" s="22" t="s">
        <v>44</v>
      </c>
      <c r="C9" s="22" t="s">
        <v>45</v>
      </c>
    </row>
    <row r="10" spans="1:3" ht="19.5" thickBot="1" x14ac:dyDescent="0.2">
      <c r="A10" s="261"/>
      <c r="B10" s="20" t="s">
        <v>46</v>
      </c>
      <c r="C10" s="20" t="s">
        <v>47</v>
      </c>
    </row>
    <row r="11" spans="1:3" ht="19.5" thickBot="1" x14ac:dyDescent="0.2">
      <c r="A11" s="260"/>
      <c r="B11" s="22" t="s">
        <v>48</v>
      </c>
      <c r="C11" s="22" t="s">
        <v>49</v>
      </c>
    </row>
    <row r="12" spans="1:3" ht="19.5" thickBot="1" x14ac:dyDescent="0.2">
      <c r="A12" s="256" t="s">
        <v>50</v>
      </c>
      <c r="B12" s="20" t="s">
        <v>51</v>
      </c>
      <c r="C12" s="20" t="s">
        <v>52</v>
      </c>
    </row>
    <row r="13" spans="1:3" ht="19.5" thickBot="1" x14ac:dyDescent="0.2">
      <c r="A13" s="257"/>
      <c r="B13" s="22" t="s">
        <v>53</v>
      </c>
      <c r="C13" s="22" t="s">
        <v>54</v>
      </c>
    </row>
    <row r="14" spans="1:3" ht="19.5" thickBot="1" x14ac:dyDescent="0.2">
      <c r="A14" s="259" t="s">
        <v>55</v>
      </c>
      <c r="B14" s="20" t="s">
        <v>56</v>
      </c>
      <c r="C14" s="20" t="s">
        <v>57</v>
      </c>
    </row>
    <row r="15" spans="1:3" ht="19.5" thickBot="1" x14ac:dyDescent="0.2">
      <c r="A15" s="261"/>
      <c r="B15" s="22" t="s">
        <v>58</v>
      </c>
      <c r="C15" s="22" t="s">
        <v>59</v>
      </c>
    </row>
    <row r="16" spans="1:3" ht="19.5" thickBot="1" x14ac:dyDescent="0.2">
      <c r="A16" s="260"/>
      <c r="B16" s="20" t="s">
        <v>60</v>
      </c>
      <c r="C16" s="20" t="s">
        <v>61</v>
      </c>
    </row>
    <row r="17" spans="1:3" ht="19.5" thickBot="1" x14ac:dyDescent="0.2">
      <c r="A17" s="256" t="s">
        <v>62</v>
      </c>
      <c r="B17" s="22" t="s">
        <v>63</v>
      </c>
      <c r="C17" s="22" t="s">
        <v>64</v>
      </c>
    </row>
    <row r="18" spans="1:3" ht="19.5" thickBot="1" x14ac:dyDescent="0.2">
      <c r="A18" s="258"/>
      <c r="B18" s="20" t="s">
        <v>65</v>
      </c>
      <c r="C18" s="20" t="s">
        <v>66</v>
      </c>
    </row>
    <row r="19" spans="1:3" ht="19.5" thickBot="1" x14ac:dyDescent="0.2">
      <c r="A19" s="258"/>
      <c r="B19" s="22" t="s">
        <v>67</v>
      </c>
      <c r="C19" s="22" t="s">
        <v>68</v>
      </c>
    </row>
    <row r="20" spans="1:3" ht="19.5" thickBot="1" x14ac:dyDescent="0.2">
      <c r="A20" s="258"/>
      <c r="B20" s="20" t="s">
        <v>67</v>
      </c>
      <c r="C20" s="20" t="s">
        <v>69</v>
      </c>
    </row>
    <row r="21" spans="1:3" ht="19.5" thickBot="1" x14ac:dyDescent="0.2">
      <c r="A21" s="257"/>
      <c r="B21" s="22" t="s">
        <v>70</v>
      </c>
      <c r="C21" s="22" t="s">
        <v>71</v>
      </c>
    </row>
    <row r="22" spans="1:3" ht="19.5" thickBot="1" x14ac:dyDescent="0.2">
      <c r="A22" s="28" t="s">
        <v>72</v>
      </c>
      <c r="B22" s="20" t="s">
        <v>73</v>
      </c>
      <c r="C22" s="20" t="s">
        <v>74</v>
      </c>
    </row>
    <row r="23" spans="1:3" ht="19.5" thickBot="1" x14ac:dyDescent="0.2">
      <c r="A23" s="256" t="s">
        <v>75</v>
      </c>
      <c r="B23" s="22" t="s">
        <v>76</v>
      </c>
      <c r="C23" s="23" t="s">
        <v>77</v>
      </c>
    </row>
    <row r="24" spans="1:3" ht="38.25" thickBot="1" x14ac:dyDescent="0.2">
      <c r="A24" s="258"/>
      <c r="B24" s="20" t="s">
        <v>78</v>
      </c>
      <c r="C24" s="21" t="s">
        <v>79</v>
      </c>
    </row>
    <row r="25" spans="1:3" ht="19.5" thickBot="1" x14ac:dyDescent="0.2">
      <c r="A25" s="258"/>
      <c r="B25" s="22" t="s">
        <v>80</v>
      </c>
      <c r="C25" s="23" t="s">
        <v>81</v>
      </c>
    </row>
    <row r="26" spans="1:3" ht="38.25" thickBot="1" x14ac:dyDescent="0.2">
      <c r="A26" s="258"/>
      <c r="B26" s="20" t="s">
        <v>82</v>
      </c>
      <c r="C26" s="21" t="s">
        <v>83</v>
      </c>
    </row>
    <row r="27" spans="1:3" ht="19.5" thickBot="1" x14ac:dyDescent="0.2">
      <c r="A27" s="258"/>
      <c r="B27" s="22" t="s">
        <v>84</v>
      </c>
      <c r="C27" s="23" t="s">
        <v>85</v>
      </c>
    </row>
    <row r="28" spans="1:3" ht="19.5" thickBot="1" x14ac:dyDescent="0.2">
      <c r="A28" s="257"/>
      <c r="B28" s="20" t="s">
        <v>86</v>
      </c>
      <c r="C28" s="21" t="s">
        <v>87</v>
      </c>
    </row>
    <row r="29" spans="1:3" ht="19.5" thickBot="1" x14ac:dyDescent="0.2">
      <c r="A29" s="259" t="s">
        <v>88</v>
      </c>
      <c r="B29" s="22" t="s">
        <v>89</v>
      </c>
      <c r="C29" s="22" t="s">
        <v>90</v>
      </c>
    </row>
    <row r="30" spans="1:3" ht="19.5" thickBot="1" x14ac:dyDescent="0.2">
      <c r="A30" s="260"/>
      <c r="B30" s="20" t="s">
        <v>91</v>
      </c>
      <c r="C30" s="20" t="s">
        <v>92</v>
      </c>
    </row>
    <row r="31" spans="1:3" ht="19.5" thickBot="1" x14ac:dyDescent="0.2">
      <c r="A31" s="256" t="s">
        <v>93</v>
      </c>
      <c r="B31" s="22" t="s">
        <v>94</v>
      </c>
      <c r="C31" s="22" t="s">
        <v>95</v>
      </c>
    </row>
    <row r="32" spans="1:3" ht="19.5" thickBot="1" x14ac:dyDescent="0.2">
      <c r="A32" s="257"/>
      <c r="B32" s="20" t="s">
        <v>96</v>
      </c>
      <c r="C32" s="20" t="s">
        <v>97</v>
      </c>
    </row>
    <row r="33" spans="1:3" ht="19.5" thickBot="1" x14ac:dyDescent="0.2">
      <c r="A33" s="259" t="s">
        <v>98</v>
      </c>
      <c r="B33" s="22" t="s">
        <v>99</v>
      </c>
      <c r="C33" s="22" t="s">
        <v>100</v>
      </c>
    </row>
    <row r="34" spans="1:3" ht="19.5" thickBot="1" x14ac:dyDescent="0.2">
      <c r="A34" s="261"/>
      <c r="B34" s="20" t="s">
        <v>101</v>
      </c>
      <c r="C34" s="20" t="s">
        <v>102</v>
      </c>
    </row>
    <row r="35" spans="1:3" ht="19.5" thickBot="1" x14ac:dyDescent="0.2">
      <c r="A35" s="261"/>
      <c r="B35" s="22" t="s">
        <v>103</v>
      </c>
      <c r="C35" s="22" t="s">
        <v>104</v>
      </c>
    </row>
    <row r="36" spans="1:3" ht="19.5" thickBot="1" x14ac:dyDescent="0.2">
      <c r="A36" s="261"/>
      <c r="B36" s="20" t="s">
        <v>105</v>
      </c>
      <c r="C36" s="20" t="s">
        <v>106</v>
      </c>
    </row>
    <row r="37" spans="1:3" ht="19.5" thickBot="1" x14ac:dyDescent="0.2">
      <c r="A37" s="261"/>
      <c r="B37" s="22" t="s">
        <v>107</v>
      </c>
      <c r="C37" s="22" t="s">
        <v>108</v>
      </c>
    </row>
    <row r="38" spans="1:3" ht="19.5" thickBot="1" x14ac:dyDescent="0.2">
      <c r="A38" s="261"/>
      <c r="B38" s="20" t="s">
        <v>109</v>
      </c>
      <c r="C38" s="20" t="s">
        <v>110</v>
      </c>
    </row>
    <row r="39" spans="1:3" ht="19.5" thickBot="1" x14ac:dyDescent="0.2">
      <c r="A39" s="261"/>
      <c r="B39" s="22" t="s">
        <v>111</v>
      </c>
      <c r="C39" s="22" t="s">
        <v>112</v>
      </c>
    </row>
    <row r="40" spans="1:3" ht="19.5" thickBot="1" x14ac:dyDescent="0.2">
      <c r="A40" s="261"/>
      <c r="B40" s="20" t="s">
        <v>113</v>
      </c>
      <c r="C40" s="20" t="s">
        <v>114</v>
      </c>
    </row>
    <row r="41" spans="1:3" ht="19.5" thickBot="1" x14ac:dyDescent="0.2">
      <c r="A41" s="261"/>
      <c r="B41" s="22" t="s">
        <v>115</v>
      </c>
      <c r="C41" s="22" t="s">
        <v>116</v>
      </c>
    </row>
    <row r="42" spans="1:3" ht="19.5" thickBot="1" x14ac:dyDescent="0.2">
      <c r="A42" s="261"/>
      <c r="B42" s="20" t="s">
        <v>117</v>
      </c>
      <c r="C42" s="20" t="s">
        <v>118</v>
      </c>
    </row>
    <row r="43" spans="1:3" ht="19.5" thickBot="1" x14ac:dyDescent="0.2">
      <c r="A43" s="261"/>
      <c r="B43" s="22" t="s">
        <v>119</v>
      </c>
      <c r="C43" s="22" t="s">
        <v>120</v>
      </c>
    </row>
    <row r="44" spans="1:3" ht="19.5" thickBot="1" x14ac:dyDescent="0.2">
      <c r="A44" s="261"/>
      <c r="B44" s="20" t="s">
        <v>121</v>
      </c>
      <c r="C44" s="20" t="s">
        <v>122</v>
      </c>
    </row>
    <row r="45" spans="1:3" ht="19.5" thickBot="1" x14ac:dyDescent="0.2">
      <c r="A45" s="260"/>
      <c r="B45" s="22" t="s">
        <v>123</v>
      </c>
      <c r="C45" s="22" t="s">
        <v>124</v>
      </c>
    </row>
    <row r="46" spans="1:3" ht="19.5" thickBot="1" x14ac:dyDescent="0.2">
      <c r="A46" s="27" t="s">
        <v>125</v>
      </c>
      <c r="B46" s="20" t="s">
        <v>125</v>
      </c>
      <c r="C46" s="20" t="s">
        <v>126</v>
      </c>
    </row>
    <row r="47" spans="1:3" ht="19.5" thickBot="1" x14ac:dyDescent="0.2">
      <c r="A47" s="28" t="s">
        <v>127</v>
      </c>
      <c r="B47" s="22" t="s">
        <v>128</v>
      </c>
      <c r="C47" s="22" t="s">
        <v>129</v>
      </c>
    </row>
    <row r="48" spans="1:3" ht="19.5" thickBot="1" x14ac:dyDescent="0.2">
      <c r="A48" s="256" t="s">
        <v>130</v>
      </c>
      <c r="B48" s="20" t="s">
        <v>131</v>
      </c>
      <c r="C48" s="20" t="s">
        <v>132</v>
      </c>
    </row>
    <row r="49" spans="1:3" ht="19.5" thickBot="1" x14ac:dyDescent="0.2">
      <c r="A49" s="257"/>
      <c r="B49" s="22" t="s">
        <v>133</v>
      </c>
      <c r="C49" s="22" t="s">
        <v>134</v>
      </c>
    </row>
    <row r="50" spans="1:3" ht="19.5" thickBot="1" x14ac:dyDescent="0.2">
      <c r="A50" s="259" t="s">
        <v>135</v>
      </c>
      <c r="B50" s="20" t="s">
        <v>136</v>
      </c>
      <c r="C50" s="20" t="s">
        <v>137</v>
      </c>
    </row>
    <row r="51" spans="1:3" ht="19.5" thickBot="1" x14ac:dyDescent="0.2">
      <c r="A51" s="261"/>
      <c r="B51" s="22" t="s">
        <v>138</v>
      </c>
      <c r="C51" s="22" t="s">
        <v>139</v>
      </c>
    </row>
    <row r="52" spans="1:3" ht="19.5" thickBot="1" x14ac:dyDescent="0.2">
      <c r="A52" s="261"/>
      <c r="B52" s="20" t="s">
        <v>140</v>
      </c>
      <c r="C52" s="20" t="s">
        <v>141</v>
      </c>
    </row>
    <row r="53" spans="1:3" ht="18.75" x14ac:dyDescent="0.15">
      <c r="A53" s="261"/>
      <c r="B53" s="259" t="s">
        <v>142</v>
      </c>
      <c r="C53" s="22" t="s">
        <v>143</v>
      </c>
    </row>
    <row r="54" spans="1:3" ht="19.5" thickBot="1" x14ac:dyDescent="0.2">
      <c r="A54" s="261"/>
      <c r="B54" s="260"/>
      <c r="C54" s="24" t="s">
        <v>144</v>
      </c>
    </row>
    <row r="55" spans="1:3" ht="38.25" thickBot="1" x14ac:dyDescent="0.2">
      <c r="A55" s="261"/>
      <c r="B55" s="20" t="s">
        <v>145</v>
      </c>
      <c r="C55" s="20" t="s">
        <v>146</v>
      </c>
    </row>
    <row r="56" spans="1:3" ht="19.5" thickBot="1" x14ac:dyDescent="0.2">
      <c r="A56" s="261"/>
      <c r="B56" s="22" t="s">
        <v>147</v>
      </c>
      <c r="C56" s="22" t="s">
        <v>148</v>
      </c>
    </row>
    <row r="57" spans="1:3" ht="19.5" thickBot="1" x14ac:dyDescent="0.2">
      <c r="A57" s="261"/>
      <c r="B57" s="20" t="s">
        <v>149</v>
      </c>
      <c r="C57" s="20" t="s">
        <v>150</v>
      </c>
    </row>
    <row r="58" spans="1:3" ht="19.5" thickBot="1" x14ac:dyDescent="0.2">
      <c r="A58" s="261"/>
      <c r="B58" s="22" t="s">
        <v>151</v>
      </c>
      <c r="C58" s="22" t="s">
        <v>152</v>
      </c>
    </row>
    <row r="59" spans="1:3" ht="18.75" x14ac:dyDescent="0.15">
      <c r="A59" s="261"/>
      <c r="B59" s="256" t="s">
        <v>153</v>
      </c>
      <c r="C59" s="20" t="s">
        <v>154</v>
      </c>
    </row>
    <row r="60" spans="1:3" ht="19.5" thickBot="1" x14ac:dyDescent="0.2">
      <c r="A60" s="261"/>
      <c r="B60" s="257"/>
      <c r="C60" s="25" t="s">
        <v>155</v>
      </c>
    </row>
    <row r="61" spans="1:3" ht="38.25" thickBot="1" x14ac:dyDescent="0.2">
      <c r="A61" s="261"/>
      <c r="B61" s="22" t="s">
        <v>156</v>
      </c>
      <c r="C61" s="22" t="s">
        <v>157</v>
      </c>
    </row>
    <row r="62" spans="1:3" ht="18.75" x14ac:dyDescent="0.15">
      <c r="A62" s="261"/>
      <c r="B62" s="256" t="s">
        <v>158</v>
      </c>
      <c r="C62" s="20" t="s">
        <v>159</v>
      </c>
    </row>
    <row r="63" spans="1:3" ht="19.5" thickBot="1" x14ac:dyDescent="0.2">
      <c r="A63" s="261"/>
      <c r="B63" s="257"/>
      <c r="C63" s="25" t="s">
        <v>160</v>
      </c>
    </row>
    <row r="64" spans="1:3" ht="38.25" thickBot="1" x14ac:dyDescent="0.2">
      <c r="A64" s="261"/>
      <c r="B64" s="22" t="s">
        <v>161</v>
      </c>
      <c r="C64" s="22" t="s">
        <v>162</v>
      </c>
    </row>
    <row r="65" spans="1:3" ht="19.5" thickBot="1" x14ac:dyDescent="0.2">
      <c r="A65" s="261"/>
      <c r="B65" s="20" t="s">
        <v>163</v>
      </c>
      <c r="C65" s="20" t="s">
        <v>164</v>
      </c>
    </row>
    <row r="66" spans="1:3" ht="19.5" thickBot="1" x14ac:dyDescent="0.2">
      <c r="A66" s="261"/>
      <c r="B66" s="22" t="s">
        <v>165</v>
      </c>
      <c r="C66" s="22" t="s">
        <v>166</v>
      </c>
    </row>
    <row r="67" spans="1:3" ht="19.5" thickBot="1" x14ac:dyDescent="0.2">
      <c r="A67" s="261"/>
      <c r="B67" s="20" t="s">
        <v>167</v>
      </c>
      <c r="C67" s="20" t="s">
        <v>168</v>
      </c>
    </row>
    <row r="68" spans="1:3" ht="19.5" thickBot="1" x14ac:dyDescent="0.2">
      <c r="A68" s="261"/>
      <c r="B68" s="22" t="s">
        <v>169</v>
      </c>
      <c r="C68" s="22" t="s">
        <v>170</v>
      </c>
    </row>
    <row r="69" spans="1:3" ht="19.5" thickBot="1" x14ac:dyDescent="0.2">
      <c r="A69" s="261"/>
      <c r="B69" s="20" t="s">
        <v>171</v>
      </c>
      <c r="C69" s="20" t="s">
        <v>172</v>
      </c>
    </row>
    <row r="70" spans="1:3" ht="19.5" thickBot="1" x14ac:dyDescent="0.2">
      <c r="A70" s="261"/>
      <c r="B70" s="22" t="s">
        <v>173</v>
      </c>
      <c r="C70" s="22" t="s">
        <v>174</v>
      </c>
    </row>
    <row r="71" spans="1:3" ht="19.5" thickBot="1" x14ac:dyDescent="0.2">
      <c r="A71" s="260"/>
      <c r="B71" s="20" t="s">
        <v>175</v>
      </c>
      <c r="C71" s="20" t="s">
        <v>176</v>
      </c>
    </row>
    <row r="72" spans="1:3" ht="19.5" thickBot="1" x14ac:dyDescent="0.2">
      <c r="A72" s="256" t="s">
        <v>177</v>
      </c>
      <c r="B72" s="22" t="s">
        <v>178</v>
      </c>
      <c r="C72" s="22" t="s">
        <v>179</v>
      </c>
    </row>
    <row r="73" spans="1:3" ht="19.5" thickBot="1" x14ac:dyDescent="0.2">
      <c r="A73" s="258"/>
      <c r="B73" s="20" t="s">
        <v>180</v>
      </c>
      <c r="C73" s="20" t="s">
        <v>181</v>
      </c>
    </row>
    <row r="74" spans="1:3" ht="19.5" thickBot="1" x14ac:dyDescent="0.2">
      <c r="A74" s="258"/>
      <c r="B74" s="22" t="s">
        <v>182</v>
      </c>
      <c r="C74" s="22" t="s">
        <v>183</v>
      </c>
    </row>
    <row r="75" spans="1:3" ht="19.5" thickBot="1" x14ac:dyDescent="0.2">
      <c r="A75" s="258"/>
      <c r="B75" s="20" t="s">
        <v>171</v>
      </c>
      <c r="C75" s="20" t="s">
        <v>172</v>
      </c>
    </row>
    <row r="76" spans="1:3" ht="19.5" thickBot="1" x14ac:dyDescent="0.2">
      <c r="A76" s="258"/>
      <c r="B76" s="22" t="s">
        <v>169</v>
      </c>
      <c r="C76" s="22" t="s">
        <v>170</v>
      </c>
    </row>
    <row r="77" spans="1:3" ht="19.5" thickBot="1" x14ac:dyDescent="0.2">
      <c r="A77" s="258"/>
      <c r="B77" s="20" t="s">
        <v>184</v>
      </c>
      <c r="C77" s="20" t="s">
        <v>185</v>
      </c>
    </row>
    <row r="78" spans="1:3" ht="38.25" thickBot="1" x14ac:dyDescent="0.2">
      <c r="A78" s="258"/>
      <c r="B78" s="22" t="s">
        <v>186</v>
      </c>
      <c r="C78" s="22" t="s">
        <v>187</v>
      </c>
    </row>
    <row r="79" spans="1:3" ht="19.5" thickBot="1" x14ac:dyDescent="0.2">
      <c r="A79" s="258"/>
      <c r="B79" s="20" t="s">
        <v>188</v>
      </c>
      <c r="C79" s="20" t="s">
        <v>189</v>
      </c>
    </row>
    <row r="80" spans="1:3" ht="19.5" thickBot="1" x14ac:dyDescent="0.2">
      <c r="A80" s="258"/>
      <c r="B80" s="22" t="s">
        <v>190</v>
      </c>
      <c r="C80" s="22" t="s">
        <v>191</v>
      </c>
    </row>
    <row r="81" spans="1:3" ht="19.5" thickBot="1" x14ac:dyDescent="0.2">
      <c r="A81" s="257"/>
      <c r="B81" s="20" t="s">
        <v>140</v>
      </c>
      <c r="C81" s="20" t="s">
        <v>141</v>
      </c>
    </row>
    <row r="82" spans="1:3" ht="19.5" thickBot="1" x14ac:dyDescent="0.2">
      <c r="A82" s="259" t="s">
        <v>192</v>
      </c>
      <c r="B82" s="22" t="s">
        <v>193</v>
      </c>
      <c r="C82" s="22" t="s">
        <v>194</v>
      </c>
    </row>
    <row r="83" spans="1:3" ht="19.5" thickBot="1" x14ac:dyDescent="0.2">
      <c r="A83" s="261"/>
      <c r="B83" s="20" t="s">
        <v>195</v>
      </c>
      <c r="C83" s="20" t="s">
        <v>196</v>
      </c>
    </row>
    <row r="84" spans="1:3" ht="19.5" thickBot="1" x14ac:dyDescent="0.2">
      <c r="A84" s="261"/>
      <c r="B84" s="22" t="s">
        <v>197</v>
      </c>
      <c r="C84" s="22" t="s">
        <v>198</v>
      </c>
    </row>
    <row r="85" spans="1:3" ht="19.5" thickBot="1" x14ac:dyDescent="0.2">
      <c r="A85" s="261"/>
      <c r="B85" s="20" t="s">
        <v>199</v>
      </c>
      <c r="C85" s="20" t="s">
        <v>200</v>
      </c>
    </row>
    <row r="86" spans="1:3" ht="19.5" thickBot="1" x14ac:dyDescent="0.2">
      <c r="A86" s="261"/>
      <c r="B86" s="22" t="s">
        <v>201</v>
      </c>
      <c r="C86" s="22" t="s">
        <v>202</v>
      </c>
    </row>
    <row r="87" spans="1:3" ht="19.5" thickBot="1" x14ac:dyDescent="0.2">
      <c r="A87" s="261"/>
      <c r="B87" s="20" t="s">
        <v>203</v>
      </c>
      <c r="C87" s="20" t="s">
        <v>204</v>
      </c>
    </row>
    <row r="88" spans="1:3" ht="19.5" thickBot="1" x14ac:dyDescent="0.2">
      <c r="A88" s="261"/>
      <c r="B88" s="22" t="s">
        <v>205</v>
      </c>
      <c r="C88" s="22" t="s">
        <v>206</v>
      </c>
    </row>
    <row r="89" spans="1:3" ht="19.5" thickBot="1" x14ac:dyDescent="0.2">
      <c r="A89" s="261"/>
      <c r="B89" s="20" t="s">
        <v>207</v>
      </c>
      <c r="C89" s="20" t="s">
        <v>208</v>
      </c>
    </row>
    <row r="90" spans="1:3" ht="19.5" thickBot="1" x14ac:dyDescent="0.2">
      <c r="A90" s="261"/>
      <c r="B90" s="22" t="s">
        <v>209</v>
      </c>
      <c r="C90" s="22" t="s">
        <v>210</v>
      </c>
    </row>
    <row r="91" spans="1:3" ht="19.5" thickBot="1" x14ac:dyDescent="0.2">
      <c r="A91" s="261"/>
      <c r="B91" s="20" t="s">
        <v>211</v>
      </c>
      <c r="C91" s="20" t="s">
        <v>212</v>
      </c>
    </row>
    <row r="92" spans="1:3" ht="19.5" thickBot="1" x14ac:dyDescent="0.2">
      <c r="A92" s="261"/>
      <c r="B92" s="22" t="s">
        <v>213</v>
      </c>
      <c r="C92" s="22" t="s">
        <v>214</v>
      </c>
    </row>
    <row r="93" spans="1:3" ht="19.5" thickBot="1" x14ac:dyDescent="0.2">
      <c r="A93" s="261"/>
      <c r="B93" s="20" t="s">
        <v>215</v>
      </c>
      <c r="C93" s="20" t="s">
        <v>216</v>
      </c>
    </row>
    <row r="94" spans="1:3" ht="19.5" thickBot="1" x14ac:dyDescent="0.2">
      <c r="A94" s="261"/>
      <c r="B94" s="22" t="s">
        <v>217</v>
      </c>
      <c r="C94" s="22" t="s">
        <v>218</v>
      </c>
    </row>
    <row r="95" spans="1:3" ht="19.5" thickBot="1" x14ac:dyDescent="0.2">
      <c r="A95" s="261"/>
      <c r="B95" s="20" t="s">
        <v>219</v>
      </c>
      <c r="C95" s="20" t="s">
        <v>220</v>
      </c>
    </row>
    <row r="96" spans="1:3" ht="19.5" thickBot="1" x14ac:dyDescent="0.2">
      <c r="A96" s="261"/>
      <c r="B96" s="22" t="s">
        <v>221</v>
      </c>
      <c r="C96" s="22" t="s">
        <v>222</v>
      </c>
    </row>
    <row r="97" spans="1:3" ht="19.5" thickBot="1" x14ac:dyDescent="0.2">
      <c r="A97" s="261"/>
      <c r="B97" s="20" t="s">
        <v>223</v>
      </c>
      <c r="C97" s="20" t="s">
        <v>224</v>
      </c>
    </row>
    <row r="98" spans="1:3" ht="19.5" thickBot="1" x14ac:dyDescent="0.2">
      <c r="A98" s="261"/>
      <c r="B98" s="22" t="s">
        <v>225</v>
      </c>
      <c r="C98" s="22" t="s">
        <v>226</v>
      </c>
    </row>
    <row r="99" spans="1:3" ht="19.5" thickBot="1" x14ac:dyDescent="0.2">
      <c r="A99" s="260"/>
      <c r="B99" s="20" t="s">
        <v>227</v>
      </c>
      <c r="C99" s="20" t="s">
        <v>228</v>
      </c>
    </row>
    <row r="100" spans="1:3" ht="19.5" thickBot="1" x14ac:dyDescent="0.2">
      <c r="A100" s="256" t="s">
        <v>229</v>
      </c>
      <c r="B100" s="22" t="s">
        <v>230</v>
      </c>
      <c r="C100" s="22" t="s">
        <v>231</v>
      </c>
    </row>
    <row r="101" spans="1:3" ht="19.5" thickBot="1" x14ac:dyDescent="0.2">
      <c r="A101" s="258"/>
      <c r="B101" s="20" t="s">
        <v>232</v>
      </c>
      <c r="C101" s="20" t="s">
        <v>233</v>
      </c>
    </row>
    <row r="102" spans="1:3" ht="19.5" thickBot="1" x14ac:dyDescent="0.2">
      <c r="A102" s="258"/>
      <c r="B102" s="22" t="s">
        <v>234</v>
      </c>
      <c r="C102" s="22" t="s">
        <v>235</v>
      </c>
    </row>
    <row r="103" spans="1:3" ht="19.5" thickBot="1" x14ac:dyDescent="0.2">
      <c r="A103" s="257"/>
      <c r="B103" s="20" t="s">
        <v>234</v>
      </c>
      <c r="C103" s="20" t="s">
        <v>236</v>
      </c>
    </row>
    <row r="104" spans="1:3" ht="19.5" thickBot="1" x14ac:dyDescent="0.2">
      <c r="A104" s="259" t="s">
        <v>237</v>
      </c>
      <c r="B104" s="22" t="s">
        <v>238</v>
      </c>
      <c r="C104" s="22" t="s">
        <v>239</v>
      </c>
    </row>
    <row r="105" spans="1:3" ht="19.5" thickBot="1" x14ac:dyDescent="0.2">
      <c r="A105" s="261"/>
      <c r="B105" s="20" t="s">
        <v>240</v>
      </c>
      <c r="C105" s="20" t="s">
        <v>241</v>
      </c>
    </row>
    <row r="106" spans="1:3" ht="19.5" thickBot="1" x14ac:dyDescent="0.2">
      <c r="A106" s="261"/>
      <c r="B106" s="22" t="s">
        <v>175</v>
      </c>
      <c r="C106" s="22" t="s">
        <v>176</v>
      </c>
    </row>
    <row r="107" spans="1:3" ht="18.75" x14ac:dyDescent="0.15">
      <c r="A107" s="261"/>
      <c r="B107" s="256" t="s">
        <v>242</v>
      </c>
      <c r="C107" s="20" t="s">
        <v>243</v>
      </c>
    </row>
    <row r="108" spans="1:3" ht="19.5" thickBot="1" x14ac:dyDescent="0.2">
      <c r="A108" s="260"/>
      <c r="B108" s="257"/>
      <c r="C108" s="25" t="s">
        <v>244</v>
      </c>
    </row>
    <row r="109" spans="1:3" ht="19.5" thickBot="1" x14ac:dyDescent="0.2">
      <c r="A109" s="256" t="s">
        <v>245</v>
      </c>
      <c r="B109" s="22" t="s">
        <v>246</v>
      </c>
      <c r="C109" s="22" t="s">
        <v>247</v>
      </c>
    </row>
    <row r="110" spans="1:3" ht="19.5" thickBot="1" x14ac:dyDescent="0.2">
      <c r="A110" s="258"/>
      <c r="B110" s="20" t="s">
        <v>248</v>
      </c>
      <c r="C110" s="20" t="s">
        <v>249</v>
      </c>
    </row>
    <row r="111" spans="1:3" ht="19.5" thickBot="1" x14ac:dyDescent="0.2">
      <c r="A111" s="258"/>
      <c r="B111" s="22" t="s">
        <v>250</v>
      </c>
      <c r="C111" s="22" t="s">
        <v>251</v>
      </c>
    </row>
    <row r="112" spans="1:3" ht="18.75" x14ac:dyDescent="0.15">
      <c r="A112" s="258"/>
      <c r="B112" s="20" t="s">
        <v>252</v>
      </c>
      <c r="C112" s="20" t="s">
        <v>253</v>
      </c>
    </row>
    <row r="113" spans="1:3" ht="14.25" thickBot="1" x14ac:dyDescent="0.2">
      <c r="A113" s="257"/>
      <c r="B113" s="29"/>
      <c r="C113" s="29"/>
    </row>
  </sheetData>
  <mergeCells count="20">
    <mergeCell ref="A23:A28"/>
    <mergeCell ref="A4:A7"/>
    <mergeCell ref="A8:A11"/>
    <mergeCell ref="A12:A13"/>
    <mergeCell ref="A14:A16"/>
    <mergeCell ref="A17:A21"/>
    <mergeCell ref="B107:B108"/>
    <mergeCell ref="A109:A113"/>
    <mergeCell ref="A29:A30"/>
    <mergeCell ref="A31:A32"/>
    <mergeCell ref="A33:A45"/>
    <mergeCell ref="A48:A49"/>
    <mergeCell ref="A50:A71"/>
    <mergeCell ref="A72:A81"/>
    <mergeCell ref="A82:A99"/>
    <mergeCell ref="A100:A103"/>
    <mergeCell ref="A104:A108"/>
    <mergeCell ref="B53:B54"/>
    <mergeCell ref="B59:B60"/>
    <mergeCell ref="B62:B63"/>
  </mergeCells>
  <phoneticPr fontId="1"/>
  <hyperlinks>
    <hyperlink ref="C4" r:id="rId1" display="http://www.excel-list.com/quotient.html"/>
    <hyperlink ref="C5" r:id="rId2" display="http://www.excel-list.com/mod.html"/>
    <hyperlink ref="C6" r:id="rId3" display="http://www.excel-list.com/product.html"/>
    <hyperlink ref="C23" r:id="rId4" display="http://www.excel-list.com/min.html"/>
    <hyperlink ref="C24" r:id="rId5" display="http://www.excel-list.com/mina.html"/>
    <hyperlink ref="C25" r:id="rId6" display="http://www.excel-list.com/max.html"/>
    <hyperlink ref="C26" r:id="rId7" display="http://www.excel-list.com/maxa.html"/>
    <hyperlink ref="C27" r:id="rId8" display="http://www.excel-list.com/dmin.html"/>
    <hyperlink ref="C28" r:id="rId9" display="http://www.excel-list.com/dmax.html"/>
  </hyperlinks>
  <pageMargins left="0.7" right="0.7" top="0.75" bottom="0.75" header="0.3" footer="0.3"/>
  <pageSetup paperSize="9" orientation="portrait" horizontalDpi="4294967292" verticalDpi="4294967292" r:id="rId1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1"/>
  <sheetViews>
    <sheetView workbookViewId="0">
      <selection activeCell="C12" sqref="C12"/>
    </sheetView>
  </sheetViews>
  <sheetFormatPr defaultRowHeight="13.5" x14ac:dyDescent="0.15"/>
  <cols>
    <col min="1" max="1" width="18" customWidth="1"/>
    <col min="2" max="2" width="19.125" customWidth="1"/>
    <col min="3" max="3" width="60.625" customWidth="1"/>
    <col min="4" max="4" width="59.75" customWidth="1"/>
  </cols>
  <sheetData>
    <row r="1" spans="1:4" ht="21.95" customHeight="1" x14ac:dyDescent="0.15">
      <c r="A1" s="145"/>
      <c r="B1" s="274" t="s">
        <v>658</v>
      </c>
      <c r="C1" s="275"/>
      <c r="D1" s="276"/>
    </row>
    <row r="2" spans="1:4" ht="21.95" customHeight="1" x14ac:dyDescent="0.15">
      <c r="A2" s="145"/>
      <c r="B2" s="146" t="s">
        <v>659</v>
      </c>
      <c r="C2" s="146" t="s">
        <v>660</v>
      </c>
      <c r="D2" s="146" t="s">
        <v>661</v>
      </c>
    </row>
    <row r="3" spans="1:4" ht="21.95" customHeight="1" x14ac:dyDescent="0.15">
      <c r="A3" s="151" t="s">
        <v>662</v>
      </c>
      <c r="B3" s="145" t="s">
        <v>669</v>
      </c>
      <c r="C3" s="145" t="s">
        <v>670</v>
      </c>
      <c r="D3" s="149" t="e">
        <f>ADDRESS(行番号, 列番号, 参照の型, 参照形式, シート名)</f>
        <v>#NAME?</v>
      </c>
    </row>
    <row r="4" spans="1:4" ht="21.95" customHeight="1" x14ac:dyDescent="0.15">
      <c r="A4" s="152" t="s">
        <v>663</v>
      </c>
      <c r="B4" s="145" t="s">
        <v>671</v>
      </c>
      <c r="C4" s="145" t="s">
        <v>672</v>
      </c>
      <c r="D4" s="149" t="e">
        <f>AREAS(範囲)</f>
        <v>#NAME?</v>
      </c>
    </row>
    <row r="5" spans="1:4" ht="29.1" customHeight="1" x14ac:dyDescent="0.15">
      <c r="A5" s="152" t="s">
        <v>664</v>
      </c>
      <c r="B5" s="145" t="s">
        <v>673</v>
      </c>
      <c r="C5" s="145" t="s">
        <v>674</v>
      </c>
      <c r="D5" s="149" t="e">
        <f>CHOOSE(インデックス, 値1, 値2,値3)</f>
        <v>#NAME?</v>
      </c>
    </row>
    <row r="6" spans="1:4" ht="21.95" customHeight="1" x14ac:dyDescent="0.15">
      <c r="A6" s="152" t="s">
        <v>665</v>
      </c>
      <c r="B6" s="145" t="s">
        <v>675</v>
      </c>
      <c r="C6" s="145" t="s">
        <v>676</v>
      </c>
      <c r="D6" s="149" t="e">
        <f>COLUMN(範囲)</f>
        <v>#NAME?</v>
      </c>
    </row>
    <row r="7" spans="1:4" ht="21.95" customHeight="1" x14ac:dyDescent="0.15">
      <c r="A7" s="152" t="s">
        <v>666</v>
      </c>
      <c r="B7" s="145" t="s">
        <v>677</v>
      </c>
      <c r="C7" s="145" t="s">
        <v>678</v>
      </c>
      <c r="D7" s="149" t="e">
        <f>COLUMNS(範囲)</f>
        <v>#NAME?</v>
      </c>
    </row>
    <row r="8" spans="1:4" ht="29.1" customHeight="1" x14ac:dyDescent="0.15">
      <c r="A8" s="152" t="s">
        <v>667</v>
      </c>
      <c r="B8" s="145" t="s">
        <v>679</v>
      </c>
      <c r="C8" s="145" t="s">
        <v>680</v>
      </c>
      <c r="D8" s="149" t="str">
        <f>HLOOKUP("文字列",A1:B10,2,TRUE)</f>
        <v>検索/行列関数</v>
      </c>
    </row>
    <row r="9" spans="1:4" ht="29.1" customHeight="1" x14ac:dyDescent="0.15">
      <c r="A9" s="152" t="s">
        <v>668</v>
      </c>
      <c r="B9" s="145" t="s">
        <v>681</v>
      </c>
      <c r="C9" s="145" t="s">
        <v>682</v>
      </c>
      <c r="D9" s="149" t="s">
        <v>683</v>
      </c>
    </row>
    <row r="10" spans="1:4" ht="21.95" customHeight="1" x14ac:dyDescent="0.15">
      <c r="A10" s="147"/>
      <c r="B10" s="145" t="s">
        <v>684</v>
      </c>
      <c r="C10" s="145" t="s">
        <v>685</v>
      </c>
      <c r="D10" s="149" t="e">
        <f>INDEX(範囲, 行番号, 列番号, 領域番号)</f>
        <v>#NAME?</v>
      </c>
    </row>
    <row r="11" spans="1:4" ht="29.1" customHeight="1" x14ac:dyDescent="0.15">
      <c r="A11" s="147"/>
      <c r="B11" s="145" t="s">
        <v>686</v>
      </c>
      <c r="C11" s="145" t="s">
        <v>687</v>
      </c>
      <c r="D11" s="149" t="e">
        <f ca="1">INDIRECT(参照文字列, 参照形式)</f>
        <v>#NAME?</v>
      </c>
    </row>
    <row r="12" spans="1:4" ht="29.1" customHeight="1" x14ac:dyDescent="0.15">
      <c r="A12" s="147"/>
      <c r="B12" s="145" t="s">
        <v>688</v>
      </c>
      <c r="C12" s="145" t="s">
        <v>689</v>
      </c>
      <c r="D12" s="149" t="e">
        <f>LOOKUP(検査値,配列)</f>
        <v>#NAME?</v>
      </c>
    </row>
    <row r="13" spans="1:4" ht="29.1" customHeight="1" x14ac:dyDescent="0.15">
      <c r="A13" s="147"/>
      <c r="B13" s="145" t="s">
        <v>690</v>
      </c>
      <c r="C13" s="145" t="s">
        <v>691</v>
      </c>
      <c r="D13" s="149" t="s">
        <v>692</v>
      </c>
    </row>
    <row r="14" spans="1:4" ht="29.1" customHeight="1" x14ac:dyDescent="0.15">
      <c r="A14" s="147"/>
      <c r="B14" s="145" t="s">
        <v>693</v>
      </c>
      <c r="C14" s="145" t="s">
        <v>694</v>
      </c>
      <c r="D14" s="149" t="s">
        <v>695</v>
      </c>
    </row>
    <row r="15" spans="1:4" ht="21.95" customHeight="1" x14ac:dyDescent="0.15">
      <c r="A15" s="147"/>
      <c r="B15" s="145" t="s">
        <v>696</v>
      </c>
      <c r="C15" s="145" t="s">
        <v>697</v>
      </c>
      <c r="D15" s="149" t="e">
        <f>ROW(範囲)</f>
        <v>#NAME?</v>
      </c>
    </row>
    <row r="16" spans="1:4" ht="21.95" customHeight="1" x14ac:dyDescent="0.15">
      <c r="A16" s="147"/>
      <c r="B16" s="145" t="s">
        <v>698</v>
      </c>
      <c r="C16" s="145" t="s">
        <v>699</v>
      </c>
      <c r="D16" s="149" t="e">
        <f>ROWS(範囲)</f>
        <v>#NAME?</v>
      </c>
    </row>
    <row r="17" spans="1:4" ht="21.95" customHeight="1" x14ac:dyDescent="0.15">
      <c r="A17" s="147"/>
      <c r="B17" s="145" t="s">
        <v>148</v>
      </c>
      <c r="C17" s="145" t="s">
        <v>700</v>
      </c>
      <c r="D17" s="149" t="e">
        <f>TRANSPOSE(範囲)</f>
        <v>#NAME?</v>
      </c>
    </row>
    <row r="18" spans="1:4" ht="29.1" customHeight="1" x14ac:dyDescent="0.15">
      <c r="A18" s="148"/>
      <c r="B18" s="145" t="s">
        <v>701</v>
      </c>
      <c r="C18" s="145" t="s">
        <v>702</v>
      </c>
      <c r="D18" s="149" t="e">
        <f>VLOOKUP(検索値, 範囲, 列番号, 検索の型)</f>
        <v>#NAME?</v>
      </c>
    </row>
    <row r="19" spans="1:4" ht="21.95" customHeight="1" x14ac:dyDescent="0.15">
      <c r="A19" s="145"/>
      <c r="B19" s="146" t="s">
        <v>703</v>
      </c>
      <c r="C19" s="146" t="s">
        <v>660</v>
      </c>
      <c r="D19" s="150" t="s">
        <v>661</v>
      </c>
    </row>
    <row r="20" spans="1:4" ht="21.95" customHeight="1" x14ac:dyDescent="0.15">
      <c r="A20" s="277" t="s">
        <v>703</v>
      </c>
      <c r="B20" s="145" t="s">
        <v>704</v>
      </c>
      <c r="C20" s="145" t="s">
        <v>705</v>
      </c>
      <c r="D20" s="149" t="e">
        <f>DAVERAGE(_xlnm.Database, フィールド, _xlnm.Criteria)</f>
        <v>#NAME?</v>
      </c>
    </row>
    <row r="21" spans="1:4" ht="21.95" customHeight="1" x14ac:dyDescent="0.15">
      <c r="A21" s="278"/>
      <c r="B21" s="145" t="s">
        <v>706</v>
      </c>
      <c r="C21" s="145" t="s">
        <v>707</v>
      </c>
      <c r="D21" s="149" t="e">
        <f>DCOUNT(_xlnm.Database, フィールド, _xlnm.Criteria)</f>
        <v>#NAME?</v>
      </c>
    </row>
    <row r="22" spans="1:4" ht="21.95" customHeight="1" x14ac:dyDescent="0.15">
      <c r="A22" s="278"/>
      <c r="B22" s="145" t="s">
        <v>708</v>
      </c>
      <c r="C22" s="145" t="s">
        <v>709</v>
      </c>
      <c r="D22" s="149" t="e">
        <f>DCOUNTA(_xlnm.Database, フィールド, _xlnm.Criteria)</f>
        <v>#NAME?</v>
      </c>
    </row>
    <row r="23" spans="1:4" ht="21.95" customHeight="1" x14ac:dyDescent="0.15">
      <c r="A23" s="278"/>
      <c r="B23" s="145" t="s">
        <v>710</v>
      </c>
      <c r="C23" s="145" t="s">
        <v>711</v>
      </c>
      <c r="D23" s="149" t="s">
        <v>712</v>
      </c>
    </row>
    <row r="24" spans="1:4" ht="21.95" customHeight="1" x14ac:dyDescent="0.15">
      <c r="A24" s="278"/>
      <c r="B24" s="145" t="s">
        <v>87</v>
      </c>
      <c r="C24" s="145" t="s">
        <v>713</v>
      </c>
      <c r="D24" s="149" t="e">
        <f>DMAX(_xlnm.Database, フィールド, _xlnm.Criteria)</f>
        <v>#NAME?</v>
      </c>
    </row>
    <row r="25" spans="1:4" ht="21.95" customHeight="1" x14ac:dyDescent="0.15">
      <c r="A25" s="278"/>
      <c r="B25" s="145" t="s">
        <v>85</v>
      </c>
      <c r="C25" s="145" t="s">
        <v>714</v>
      </c>
      <c r="D25" s="149" t="e">
        <f>DMIN(_xlnm.Database, フィールド, _xlnm.Criteria)</f>
        <v>#NAME?</v>
      </c>
    </row>
    <row r="26" spans="1:4" ht="21.95" customHeight="1" x14ac:dyDescent="0.15">
      <c r="A26" s="278"/>
      <c r="B26" s="145" t="s">
        <v>40</v>
      </c>
      <c r="C26" s="145" t="s">
        <v>715</v>
      </c>
      <c r="D26" s="149" t="e">
        <f>DPRODUCT(_xlnm.Database, フィールド, _xlnm.Criteria)</f>
        <v>#NAME?</v>
      </c>
    </row>
    <row r="27" spans="1:4" ht="29.1" customHeight="1" x14ac:dyDescent="0.15">
      <c r="A27" s="278"/>
      <c r="B27" s="145" t="s">
        <v>716</v>
      </c>
      <c r="C27" s="145" t="s">
        <v>717</v>
      </c>
      <c r="D27" s="149" t="e">
        <f>DSTDEV(_xlnm.Database, フィールド, _xlnm.Criteria)</f>
        <v>#NAME?</v>
      </c>
    </row>
    <row r="28" spans="1:4" ht="29.1" customHeight="1" x14ac:dyDescent="0.15">
      <c r="A28" s="278"/>
      <c r="B28" s="145" t="s">
        <v>718</v>
      </c>
      <c r="C28" s="145" t="s">
        <v>719</v>
      </c>
      <c r="D28" s="149" t="e">
        <f>DSTDEVP(_xlnm.Database, フィールド, _xlnm.Criteria)</f>
        <v>#NAME?</v>
      </c>
    </row>
    <row r="29" spans="1:4" ht="21.95" customHeight="1" x14ac:dyDescent="0.15">
      <c r="A29" s="278"/>
      <c r="B29" s="145" t="s">
        <v>720</v>
      </c>
      <c r="C29" s="145" t="s">
        <v>721</v>
      </c>
      <c r="D29" s="149" t="e">
        <f>DSUM(_xlnm.Database, フィールド, _xlnm.Criteria)</f>
        <v>#NAME?</v>
      </c>
    </row>
    <row r="30" spans="1:4" ht="21.95" customHeight="1" x14ac:dyDescent="0.15">
      <c r="A30" s="278"/>
      <c r="B30" s="145" t="s">
        <v>722</v>
      </c>
      <c r="C30" s="145" t="s">
        <v>723</v>
      </c>
      <c r="D30" s="149" t="e">
        <f>DVAR(_xlnm.Database, フィールド, _xlnm.Criteria)</f>
        <v>#NAME?</v>
      </c>
    </row>
    <row r="31" spans="1:4" ht="21.95" customHeight="1" x14ac:dyDescent="0.15">
      <c r="A31" s="278"/>
      <c r="B31" s="145" t="s">
        <v>724</v>
      </c>
      <c r="C31" s="145" t="s">
        <v>725</v>
      </c>
      <c r="D31" s="149" t="e">
        <f>DVARP(_xlnm.Database, フィールド, _xlnm.Criteria)</f>
        <v>#NAME?</v>
      </c>
    </row>
    <row r="32" spans="1:4" ht="29.1" customHeight="1" x14ac:dyDescent="0.15">
      <c r="A32" s="279"/>
      <c r="B32" s="145" t="s">
        <v>726</v>
      </c>
      <c r="C32" s="145" t="s">
        <v>727</v>
      </c>
      <c r="D32" s="149" t="e">
        <f>GETPIVOTDATA(ピボットテーブル,名前)</f>
        <v>#NAME?</v>
      </c>
    </row>
    <row r="33" spans="1:4" ht="21.95" customHeight="1" x14ac:dyDescent="0.15">
      <c r="A33" s="145"/>
      <c r="B33" s="146" t="s">
        <v>728</v>
      </c>
      <c r="C33" s="146" t="s">
        <v>660</v>
      </c>
      <c r="D33" s="150" t="s">
        <v>661</v>
      </c>
    </row>
    <row r="34" spans="1:4" ht="21.95" customHeight="1" x14ac:dyDescent="0.15">
      <c r="A34" s="280" t="s">
        <v>728</v>
      </c>
      <c r="B34" s="145" t="s">
        <v>249</v>
      </c>
      <c r="C34" s="145" t="s">
        <v>729</v>
      </c>
      <c r="D34" s="149" t="e">
        <f>BESSELI(x, n)</f>
        <v>#NAME?</v>
      </c>
    </row>
    <row r="35" spans="1:4" ht="21.95" customHeight="1" x14ac:dyDescent="0.15">
      <c r="A35" s="281"/>
      <c r="B35" s="145" t="s">
        <v>247</v>
      </c>
      <c r="C35" s="145" t="s">
        <v>730</v>
      </c>
      <c r="D35" s="149" t="e">
        <f>BESSELJ(x, n)</f>
        <v>#NAME?</v>
      </c>
    </row>
    <row r="36" spans="1:4" ht="21.95" customHeight="1" x14ac:dyDescent="0.15">
      <c r="A36" s="281"/>
      <c r="B36" s="145" t="s">
        <v>253</v>
      </c>
      <c r="C36" s="145" t="s">
        <v>731</v>
      </c>
      <c r="D36" s="149" t="e">
        <f>BESSELK(x, n)</f>
        <v>#NAME?</v>
      </c>
    </row>
    <row r="37" spans="1:4" ht="21.95" customHeight="1" x14ac:dyDescent="0.15">
      <c r="A37" s="281"/>
      <c r="B37" s="145" t="s">
        <v>251</v>
      </c>
      <c r="C37" s="145" t="s">
        <v>732</v>
      </c>
      <c r="D37" s="149" t="e">
        <f>BESSELY(x, n)</f>
        <v>#NAME?</v>
      </c>
    </row>
    <row r="38" spans="1:4" ht="21.95" customHeight="1" x14ac:dyDescent="0.15">
      <c r="A38" s="281"/>
      <c r="B38" s="145" t="s">
        <v>733</v>
      </c>
      <c r="C38" s="145" t="s">
        <v>734</v>
      </c>
      <c r="D38" s="149" t="e">
        <f>BIN2DEC(数値)</f>
        <v>#NAME?</v>
      </c>
    </row>
    <row r="39" spans="1:4" ht="21.95" customHeight="1" x14ac:dyDescent="0.15">
      <c r="A39" s="281"/>
      <c r="B39" s="145" t="s">
        <v>735</v>
      </c>
      <c r="C39" s="145" t="s">
        <v>736</v>
      </c>
      <c r="D39" s="149" t="e">
        <f>BIN2HEX(数値, 桁数)</f>
        <v>#NAME?</v>
      </c>
    </row>
    <row r="40" spans="1:4" ht="21.95" customHeight="1" x14ac:dyDescent="0.15">
      <c r="A40" s="281"/>
      <c r="B40" s="145" t="s">
        <v>737</v>
      </c>
      <c r="C40" s="145" t="s">
        <v>738</v>
      </c>
      <c r="D40" s="149" t="e">
        <f>BIN2OCT(数値, 桁数)</f>
        <v>#NAME?</v>
      </c>
    </row>
    <row r="41" spans="1:4" ht="21.95" customHeight="1" x14ac:dyDescent="0.15">
      <c r="A41" s="281"/>
      <c r="B41" s="145" t="s">
        <v>226</v>
      </c>
      <c r="C41" s="145" t="s">
        <v>739</v>
      </c>
      <c r="D41" s="149" t="e">
        <f>COMPLEX(実数, 虚数, 虚数単位)</f>
        <v>#NAME?</v>
      </c>
    </row>
    <row r="42" spans="1:4" ht="29.1" customHeight="1" x14ac:dyDescent="0.15">
      <c r="A42" s="281"/>
      <c r="B42" s="145" t="s">
        <v>740</v>
      </c>
      <c r="C42" s="145" t="s">
        <v>741</v>
      </c>
      <c r="D42" s="149" t="e">
        <f>CONVERT(数値, 変換前単位, 変換後単位)</f>
        <v>#NAME?</v>
      </c>
    </row>
    <row r="43" spans="1:4" ht="29.1" customHeight="1" x14ac:dyDescent="0.15">
      <c r="A43" s="281"/>
      <c r="B43" s="145" t="s">
        <v>742</v>
      </c>
      <c r="C43" s="145" t="s">
        <v>743</v>
      </c>
      <c r="D43" s="149" t="e">
        <f>DEC2BIN(数値, 桁数)</f>
        <v>#NAME?</v>
      </c>
    </row>
    <row r="44" spans="1:4" ht="29.1" customHeight="1" x14ac:dyDescent="0.15">
      <c r="A44" s="281"/>
      <c r="B44" s="145" t="s">
        <v>744</v>
      </c>
      <c r="C44" s="145" t="s">
        <v>745</v>
      </c>
      <c r="D44" s="149" t="e">
        <f>DEC2HEX(数値, 桁数)</f>
        <v>#NAME?</v>
      </c>
    </row>
    <row r="45" spans="1:4" ht="29.1" customHeight="1" x14ac:dyDescent="0.15">
      <c r="A45" s="281"/>
      <c r="B45" s="145" t="s">
        <v>746</v>
      </c>
      <c r="C45" s="145" t="s">
        <v>747</v>
      </c>
      <c r="D45" s="149" t="e">
        <f>DEC2OCT(数値, 桁数)</f>
        <v>#NAME?</v>
      </c>
    </row>
    <row r="46" spans="1:4" ht="29.1" customHeight="1" x14ac:dyDescent="0.15">
      <c r="A46" s="281"/>
      <c r="B46" s="145" t="s">
        <v>748</v>
      </c>
      <c r="C46" s="145" t="s">
        <v>749</v>
      </c>
      <c r="D46" s="149" t="e">
        <f>DELTA(数値1, 数値2)</f>
        <v>#NAME?</v>
      </c>
    </row>
    <row r="47" spans="1:4" ht="21.95" customHeight="1" x14ac:dyDescent="0.15">
      <c r="A47" s="281"/>
      <c r="B47" s="145" t="s">
        <v>231</v>
      </c>
      <c r="C47" s="145" t="s">
        <v>750</v>
      </c>
      <c r="D47" s="149" t="e">
        <f>ERF(下限, 上限)</f>
        <v>#NAME?</v>
      </c>
    </row>
    <row r="48" spans="1:4" ht="21.95" customHeight="1" x14ac:dyDescent="0.15">
      <c r="A48" s="281"/>
      <c r="B48" s="145" t="s">
        <v>235</v>
      </c>
      <c r="C48" s="145" t="s">
        <v>751</v>
      </c>
      <c r="D48" s="149" t="e">
        <f>ERFC(x)</f>
        <v>#NAME?</v>
      </c>
    </row>
    <row r="49" spans="1:4" ht="21.95" customHeight="1" x14ac:dyDescent="0.15">
      <c r="A49" s="281"/>
      <c r="B49" s="145" t="s">
        <v>752</v>
      </c>
      <c r="C49" s="145" t="s">
        <v>753</v>
      </c>
      <c r="D49" s="149" t="e">
        <f>GESTEP(数値, しきい値)</f>
        <v>#NAME?</v>
      </c>
    </row>
    <row r="50" spans="1:4" ht="21.95" customHeight="1" x14ac:dyDescent="0.15">
      <c r="A50" s="281"/>
      <c r="B50" s="145" t="s">
        <v>754</v>
      </c>
      <c r="C50" s="145" t="s">
        <v>755</v>
      </c>
      <c r="D50" s="149" t="e">
        <f>HEX2BIN(数値, 桁数)</f>
        <v>#NAME?</v>
      </c>
    </row>
    <row r="51" spans="1:4" ht="21.95" customHeight="1" x14ac:dyDescent="0.15">
      <c r="A51" s="281"/>
      <c r="B51" s="145" t="s">
        <v>756</v>
      </c>
      <c r="C51" s="145" t="s">
        <v>757</v>
      </c>
      <c r="D51" s="149" t="e">
        <f>HEX2DEC(数値)</f>
        <v>#NAME?</v>
      </c>
    </row>
    <row r="52" spans="1:4" ht="21.95" customHeight="1" x14ac:dyDescent="0.15">
      <c r="A52" s="281"/>
      <c r="B52" s="145" t="s">
        <v>758</v>
      </c>
      <c r="C52" s="145" t="s">
        <v>759</v>
      </c>
      <c r="D52" s="149" t="e">
        <f>HEX2OCT(数値, 桁数)</f>
        <v>#NAME?</v>
      </c>
    </row>
    <row r="53" spans="1:4" ht="21.95" customHeight="1" x14ac:dyDescent="0.15">
      <c r="A53" s="281"/>
      <c r="B53" s="145" t="s">
        <v>224</v>
      </c>
      <c r="C53" s="145" t="s">
        <v>760</v>
      </c>
      <c r="D53" s="149" t="e">
        <f>IMABS(複素数)</f>
        <v>#NAME?</v>
      </c>
    </row>
    <row r="54" spans="1:4" ht="21.95" customHeight="1" x14ac:dyDescent="0.15">
      <c r="A54" s="281"/>
      <c r="B54" s="145" t="s">
        <v>222</v>
      </c>
      <c r="C54" s="145" t="s">
        <v>761</v>
      </c>
      <c r="D54" s="149" t="e">
        <f>IMAGINARY(複素数)</f>
        <v>#NAME?</v>
      </c>
    </row>
    <row r="55" spans="1:4" ht="21.95" customHeight="1" x14ac:dyDescent="0.15">
      <c r="A55" s="281"/>
      <c r="B55" s="145" t="s">
        <v>228</v>
      </c>
      <c r="C55" s="145" t="s">
        <v>762</v>
      </c>
      <c r="D55" s="149" t="e">
        <f>IMARGUMENT(複素数)</f>
        <v>#NAME?</v>
      </c>
    </row>
    <row r="56" spans="1:4" ht="21.95" customHeight="1" x14ac:dyDescent="0.15">
      <c r="A56" s="281"/>
      <c r="B56" s="145" t="s">
        <v>220</v>
      </c>
      <c r="C56" s="145" t="s">
        <v>763</v>
      </c>
      <c r="D56" s="149" t="e">
        <f>IMCONJUGATE(複素数)</f>
        <v>#NAME?</v>
      </c>
    </row>
    <row r="57" spans="1:4" ht="21.95" customHeight="1" x14ac:dyDescent="0.15">
      <c r="A57" s="281"/>
      <c r="B57" s="145" t="s">
        <v>202</v>
      </c>
      <c r="C57" s="145" t="s">
        <v>764</v>
      </c>
      <c r="D57" s="149" t="e">
        <f>IMCOS(複素数)</f>
        <v>#NAME?</v>
      </c>
    </row>
    <row r="58" spans="1:4" ht="21.95" customHeight="1" x14ac:dyDescent="0.15">
      <c r="A58" s="281"/>
      <c r="B58" s="145" t="s">
        <v>210</v>
      </c>
      <c r="C58" s="145" t="s">
        <v>765</v>
      </c>
      <c r="D58" s="149" t="e">
        <f>IMDIV(複素数1, 複素数2)</f>
        <v>#NAME?</v>
      </c>
    </row>
    <row r="59" spans="1:4" ht="21.95" customHeight="1" x14ac:dyDescent="0.15">
      <c r="A59" s="281"/>
      <c r="B59" s="145" t="s">
        <v>212</v>
      </c>
      <c r="C59" s="145" t="s">
        <v>766</v>
      </c>
      <c r="D59" s="149" t="e">
        <f>IMEXP(複素数)</f>
        <v>#NAME?</v>
      </c>
    </row>
    <row r="60" spans="1:4" ht="21.95" customHeight="1" x14ac:dyDescent="0.15">
      <c r="A60" s="281"/>
      <c r="B60" s="145" t="s">
        <v>194</v>
      </c>
      <c r="C60" s="145" t="s">
        <v>767</v>
      </c>
      <c r="D60" s="149" t="e">
        <f>IMLN(複素数)</f>
        <v>#NAME?</v>
      </c>
    </row>
    <row r="61" spans="1:4" ht="21.95" customHeight="1" x14ac:dyDescent="0.15">
      <c r="A61" s="281"/>
      <c r="B61" s="145" t="s">
        <v>198</v>
      </c>
      <c r="C61" s="145" t="s">
        <v>768</v>
      </c>
      <c r="D61" s="149" t="e">
        <f>IMLOG10(複素数)</f>
        <v>#NAME?</v>
      </c>
    </row>
    <row r="62" spans="1:4" ht="21.95" customHeight="1" x14ac:dyDescent="0.15">
      <c r="A62" s="281"/>
      <c r="B62" s="145" t="s">
        <v>196</v>
      </c>
      <c r="C62" s="145" t="s">
        <v>769</v>
      </c>
      <c r="D62" s="149" t="e">
        <f>IMLOG2(複素数)</f>
        <v>#NAME?</v>
      </c>
    </row>
    <row r="63" spans="1:4" ht="21.95" customHeight="1" x14ac:dyDescent="0.15">
      <c r="A63" s="281"/>
      <c r="B63" s="145" t="s">
        <v>214</v>
      </c>
      <c r="C63" s="145" t="s">
        <v>770</v>
      </c>
      <c r="D63" s="149" t="e">
        <f>IMPOWER(複素数, 数値)</f>
        <v>#NAME?</v>
      </c>
    </row>
    <row r="64" spans="1:4" ht="21.95" customHeight="1" x14ac:dyDescent="0.15">
      <c r="A64" s="281"/>
      <c r="B64" s="145" t="s">
        <v>208</v>
      </c>
      <c r="C64" s="145" t="s">
        <v>771</v>
      </c>
      <c r="D64" s="149" t="s">
        <v>772</v>
      </c>
    </row>
    <row r="65" spans="1:4" ht="21.95" customHeight="1" x14ac:dyDescent="0.15">
      <c r="A65" s="281"/>
      <c r="B65" s="145" t="s">
        <v>218</v>
      </c>
      <c r="C65" s="145" t="s">
        <v>773</v>
      </c>
      <c r="D65" s="149" t="e">
        <f>IMREAL(複素数)</f>
        <v>#NAME?</v>
      </c>
    </row>
    <row r="66" spans="1:4" ht="21.95" customHeight="1" x14ac:dyDescent="0.15">
      <c r="A66" s="281"/>
      <c r="B66" s="145" t="s">
        <v>200</v>
      </c>
      <c r="C66" s="145" t="s">
        <v>774</v>
      </c>
      <c r="D66" s="149" t="e">
        <f>IMSIN(複素数)</f>
        <v>#NAME?</v>
      </c>
    </row>
    <row r="67" spans="1:4" ht="21.95" customHeight="1" x14ac:dyDescent="0.15">
      <c r="A67" s="281"/>
      <c r="B67" s="145" t="s">
        <v>216</v>
      </c>
      <c r="C67" s="145" t="s">
        <v>775</v>
      </c>
      <c r="D67" s="149" t="e">
        <f>IMSQRT(複素数)</f>
        <v>#NAME?</v>
      </c>
    </row>
    <row r="68" spans="1:4" ht="21.95" customHeight="1" x14ac:dyDescent="0.15">
      <c r="A68" s="281"/>
      <c r="B68" s="145" t="s">
        <v>204</v>
      </c>
      <c r="C68" s="145" t="s">
        <v>776</v>
      </c>
      <c r="D68" s="149" t="e">
        <f>IMSUB(複素数1, 複素数2)</f>
        <v>#NAME?</v>
      </c>
    </row>
    <row r="69" spans="1:4" ht="21.95" customHeight="1" x14ac:dyDescent="0.15">
      <c r="A69" s="281"/>
      <c r="B69" s="145" t="s">
        <v>206</v>
      </c>
      <c r="C69" s="145" t="s">
        <v>777</v>
      </c>
      <c r="D69" s="149" t="s">
        <v>778</v>
      </c>
    </row>
    <row r="70" spans="1:4" ht="21.95" customHeight="1" x14ac:dyDescent="0.15">
      <c r="A70" s="281"/>
      <c r="B70" s="145" t="s">
        <v>779</v>
      </c>
      <c r="C70" s="145" t="s">
        <v>780</v>
      </c>
      <c r="D70" s="149" t="e">
        <f>OCT2BIN(数値, 桁数)</f>
        <v>#NAME?</v>
      </c>
    </row>
    <row r="71" spans="1:4" ht="21.95" customHeight="1" x14ac:dyDescent="0.15">
      <c r="A71" s="281"/>
      <c r="B71" s="145" t="s">
        <v>781</v>
      </c>
      <c r="C71" s="145" t="s">
        <v>782</v>
      </c>
      <c r="D71" s="149" t="e">
        <f>OCT2DEC(数値)</f>
        <v>#NAME?</v>
      </c>
    </row>
    <row r="72" spans="1:4" ht="21.95" customHeight="1" x14ac:dyDescent="0.15">
      <c r="A72" s="282"/>
      <c r="B72" s="145" t="s">
        <v>783</v>
      </c>
      <c r="C72" s="145" t="s">
        <v>784</v>
      </c>
      <c r="D72" s="149" t="e">
        <f>OCT2HEX(数値, 桁数)</f>
        <v>#NAME?</v>
      </c>
    </row>
    <row r="73" spans="1:4" ht="21.95" customHeight="1" x14ac:dyDescent="0.15">
      <c r="A73" s="145"/>
      <c r="B73" s="146" t="s">
        <v>785</v>
      </c>
      <c r="C73" s="146" t="s">
        <v>660</v>
      </c>
      <c r="D73" s="150" t="s">
        <v>661</v>
      </c>
    </row>
    <row r="74" spans="1:4" ht="21.95" customHeight="1" x14ac:dyDescent="0.15">
      <c r="A74" s="283" t="s">
        <v>785</v>
      </c>
      <c r="B74" s="145" t="s">
        <v>786</v>
      </c>
      <c r="C74" s="145" t="s">
        <v>787</v>
      </c>
      <c r="D74" s="149" t="e">
        <f>ACCRINT(発行日, 最初の利払日, 受領日, 利率, 額面, 頻度, 基準)</f>
        <v>#NAME?</v>
      </c>
    </row>
    <row r="75" spans="1:4" ht="21.95" customHeight="1" x14ac:dyDescent="0.15">
      <c r="A75" s="284"/>
      <c r="B75" s="145" t="s">
        <v>788</v>
      </c>
      <c r="C75" s="145" t="s">
        <v>789</v>
      </c>
      <c r="D75" s="149" t="e">
        <f>ACCRINTM(発行日, 受領日, 利率, 額面, 基準)</f>
        <v>#NAME?</v>
      </c>
    </row>
    <row r="76" spans="1:4" ht="29.1" customHeight="1" x14ac:dyDescent="0.15">
      <c r="A76" s="284"/>
      <c r="B76" s="145" t="s">
        <v>790</v>
      </c>
      <c r="C76" s="145" t="s">
        <v>791</v>
      </c>
      <c r="D76" s="149" t="e">
        <f>AMORDEGRC(取得価額, 購入日, 開始期, 残存価額, 期, 率, 年の基準)</f>
        <v>#NAME?</v>
      </c>
    </row>
    <row r="77" spans="1:4" ht="29.1" customHeight="1" x14ac:dyDescent="0.15">
      <c r="A77" s="284"/>
      <c r="B77" s="145" t="s">
        <v>792</v>
      </c>
      <c r="C77" s="145" t="s">
        <v>791</v>
      </c>
      <c r="D77" s="149" t="e">
        <f>AMORLINC(取得価額, 購入日, 開始期, 残存価額, 期, 率, 年の基準)</f>
        <v>#NAME?</v>
      </c>
    </row>
    <row r="78" spans="1:4" ht="21.95" customHeight="1" x14ac:dyDescent="0.15">
      <c r="A78" s="284"/>
      <c r="B78" s="145" t="s">
        <v>793</v>
      </c>
      <c r="C78" s="145" t="s">
        <v>794</v>
      </c>
      <c r="D78" s="149" t="e">
        <f>COUPDAYBS(受領日, 満期日, 頻度, 基準)</f>
        <v>#NAME?</v>
      </c>
    </row>
    <row r="79" spans="1:4" ht="21.95" customHeight="1" x14ac:dyDescent="0.15">
      <c r="A79" s="284"/>
      <c r="B79" s="145" t="s">
        <v>795</v>
      </c>
      <c r="C79" s="145" t="s">
        <v>796</v>
      </c>
      <c r="D79" s="149" t="e">
        <f>COUPDAYS(受領日, 満期日, 頻度, 基準)</f>
        <v>#NAME?</v>
      </c>
    </row>
    <row r="80" spans="1:4" ht="21.95" customHeight="1" x14ac:dyDescent="0.15">
      <c r="A80" s="284"/>
      <c r="B80" s="145" t="s">
        <v>797</v>
      </c>
      <c r="C80" s="145" t="s">
        <v>798</v>
      </c>
      <c r="D80" s="149" t="e">
        <f>COUPDAYSNC(受領日, 満期日, 頻度, 基準)</f>
        <v>#NAME?</v>
      </c>
    </row>
    <row r="81" spans="1:4" ht="21.95" customHeight="1" x14ac:dyDescent="0.15">
      <c r="A81" s="284"/>
      <c r="B81" s="145" t="s">
        <v>799</v>
      </c>
      <c r="C81" s="145" t="s">
        <v>800</v>
      </c>
      <c r="D81" s="149" t="e">
        <f>COUPNCD(受領日, 満期日, 頻度, 基準)</f>
        <v>#NAME?</v>
      </c>
    </row>
    <row r="82" spans="1:4" ht="21.95" customHeight="1" x14ac:dyDescent="0.15">
      <c r="A82" s="284"/>
      <c r="B82" s="145" t="s">
        <v>801</v>
      </c>
      <c r="C82" s="145" t="s">
        <v>802</v>
      </c>
      <c r="D82" s="149" t="e">
        <f>COUPNUM(受領日, 満期日, 頻度, 基準)</f>
        <v>#NAME?</v>
      </c>
    </row>
    <row r="83" spans="1:4" ht="21.95" customHeight="1" x14ac:dyDescent="0.15">
      <c r="A83" s="284"/>
      <c r="B83" s="145" t="s">
        <v>803</v>
      </c>
      <c r="C83" s="145" t="s">
        <v>804</v>
      </c>
      <c r="D83" s="149" t="e">
        <f>COUPPCD(受領日, 満期日, 頻度, 基準)</f>
        <v>#NAME?</v>
      </c>
    </row>
    <row r="84" spans="1:4" ht="29.1" customHeight="1" x14ac:dyDescent="0.15">
      <c r="A84" s="284"/>
      <c r="B84" s="145" t="s">
        <v>805</v>
      </c>
      <c r="C84" s="145" t="s">
        <v>806</v>
      </c>
      <c r="D84" s="149" t="e">
        <f>CUMIPMT(利率, 支払回数, 現在価値, 開始期, 終了期, 支払期日)</f>
        <v>#NAME?</v>
      </c>
    </row>
    <row r="85" spans="1:4" ht="29.1" customHeight="1" x14ac:dyDescent="0.15">
      <c r="A85" s="284"/>
      <c r="B85" s="145" t="s">
        <v>807</v>
      </c>
      <c r="C85" s="145" t="s">
        <v>808</v>
      </c>
      <c r="D85" s="149" t="e">
        <f>CUMPRINC(利率, 支払回数, 現在価値, 開始期, 終了期, 支払期日)</f>
        <v>#NAME?</v>
      </c>
    </row>
    <row r="86" spans="1:4" ht="21.95" customHeight="1" x14ac:dyDescent="0.15">
      <c r="A86" s="284"/>
      <c r="B86" s="145" t="s">
        <v>809</v>
      </c>
      <c r="C86" s="145" t="s">
        <v>810</v>
      </c>
      <c r="D86" s="149" t="e">
        <f>DB(取得価額, 残存価額, 耐用年数, 期間, 月)</f>
        <v>#NAME?</v>
      </c>
    </row>
    <row r="87" spans="1:4" ht="21.95" customHeight="1" x14ac:dyDescent="0.15">
      <c r="A87" s="284"/>
      <c r="B87" s="145" t="s">
        <v>811</v>
      </c>
      <c r="C87" s="145" t="s">
        <v>812</v>
      </c>
      <c r="D87" s="149" t="e">
        <f>DDB(取得価額, 残存価額, 耐用年数, 期間, 率)</f>
        <v>#NAME?</v>
      </c>
    </row>
    <row r="88" spans="1:4" ht="21.95" customHeight="1" x14ac:dyDescent="0.15">
      <c r="A88" s="284"/>
      <c r="B88" s="145" t="s">
        <v>813</v>
      </c>
      <c r="C88" s="145" t="s">
        <v>814</v>
      </c>
      <c r="D88" s="149" t="e">
        <f>DISC(受領日, 満期日, 現在価値, 償還価値, 基準)</f>
        <v>#NAME?</v>
      </c>
    </row>
    <row r="89" spans="1:4" ht="21.95" customHeight="1" x14ac:dyDescent="0.15">
      <c r="A89" s="284"/>
      <c r="B89" s="145" t="s">
        <v>815</v>
      </c>
      <c r="C89" s="145" t="s">
        <v>816</v>
      </c>
      <c r="D89" s="149" t="e">
        <f>DOLLARDE(分子, 分母)</f>
        <v>#NAME?</v>
      </c>
    </row>
    <row r="90" spans="1:4" ht="21.95" customHeight="1" x14ac:dyDescent="0.15">
      <c r="A90" s="284"/>
      <c r="B90" s="145" t="s">
        <v>817</v>
      </c>
      <c r="C90" s="145" t="s">
        <v>818</v>
      </c>
      <c r="D90" s="149" t="e">
        <f>DOLLARFR(小数値, 分母)</f>
        <v>#NAME?</v>
      </c>
    </row>
    <row r="91" spans="1:4" ht="21.95" customHeight="1" x14ac:dyDescent="0.15">
      <c r="A91" s="284"/>
      <c r="B91" s="145" t="s">
        <v>819</v>
      </c>
      <c r="C91" s="145" t="s">
        <v>820</v>
      </c>
      <c r="D91" s="149" t="e">
        <f>DURATION(受領日, 満期日, 利札, 利回り, 頻度, 基準)</f>
        <v>#NAME?</v>
      </c>
    </row>
    <row r="92" spans="1:4" ht="29.1" customHeight="1" x14ac:dyDescent="0.15">
      <c r="A92" s="284"/>
      <c r="B92" s="145" t="s">
        <v>821</v>
      </c>
      <c r="C92" s="145" t="s">
        <v>822</v>
      </c>
      <c r="D92" s="149" t="e">
        <f>EFFECT(名目利率, 複利計算期間)</f>
        <v>#NAME?</v>
      </c>
    </row>
    <row r="93" spans="1:4" ht="21.95" customHeight="1" x14ac:dyDescent="0.15">
      <c r="A93" s="284"/>
      <c r="B93" s="145" t="s">
        <v>823</v>
      </c>
      <c r="C93" s="145" t="s">
        <v>824</v>
      </c>
      <c r="D93" s="149" t="e">
        <f>FV(利率, 期間, 定期支払額, 現在価値, 支払期日)</f>
        <v>#NAME?</v>
      </c>
    </row>
    <row r="94" spans="1:4" ht="29.1" customHeight="1" x14ac:dyDescent="0.15">
      <c r="A94" s="284"/>
      <c r="B94" s="145" t="s">
        <v>825</v>
      </c>
      <c r="C94" s="145" t="s">
        <v>826</v>
      </c>
      <c r="D94" s="149" t="e">
        <f>FVSCHEDULE(元金, 利率配列)</f>
        <v>#NAME?</v>
      </c>
    </row>
    <row r="95" spans="1:4" ht="21.95" customHeight="1" x14ac:dyDescent="0.15">
      <c r="A95" s="284"/>
      <c r="B95" s="145" t="s">
        <v>827</v>
      </c>
      <c r="C95" s="145" t="s">
        <v>828</v>
      </c>
      <c r="D95" s="149" t="e">
        <f>INTRATE(受領日, 満期日, 投資額, 償還価値, 基準)</f>
        <v>#NAME?</v>
      </c>
    </row>
    <row r="96" spans="1:4" ht="21.95" customHeight="1" x14ac:dyDescent="0.15">
      <c r="A96" s="284"/>
      <c r="B96" s="145" t="s">
        <v>829</v>
      </c>
      <c r="C96" s="145" t="s">
        <v>830</v>
      </c>
      <c r="D96" s="149" t="e">
        <f>IPMT(利率, 期, 期間, 現在価値, 将来価値, 支払期日)</f>
        <v>#NAME?</v>
      </c>
    </row>
    <row r="97" spans="1:4" ht="21.95" customHeight="1" x14ac:dyDescent="0.15">
      <c r="A97" s="284"/>
      <c r="B97" s="145" t="s">
        <v>831</v>
      </c>
      <c r="C97" s="145" t="s">
        <v>832</v>
      </c>
      <c r="D97" s="149" t="e">
        <f>IRR(範囲, 推定値)</f>
        <v>#NAME?</v>
      </c>
    </row>
    <row r="98" spans="1:4" ht="21.95" customHeight="1" x14ac:dyDescent="0.15">
      <c r="A98" s="284"/>
      <c r="B98" s="145" t="s">
        <v>833</v>
      </c>
      <c r="C98" s="145" t="s">
        <v>834</v>
      </c>
      <c r="D98" s="149" t="e">
        <f>ISPMT(利率, 期, 期間, 現在価値)</f>
        <v>#NAME?</v>
      </c>
    </row>
    <row r="99" spans="1:4" ht="21.95" customHeight="1" x14ac:dyDescent="0.15">
      <c r="A99" s="284"/>
      <c r="B99" s="145" t="s">
        <v>835</v>
      </c>
      <c r="C99" s="145" t="s">
        <v>836</v>
      </c>
      <c r="D99" s="149" t="e">
        <f>MDURATION(受領日, 満期日, 利札, 利回り, 頻度, 基準)</f>
        <v>#NAME?</v>
      </c>
    </row>
    <row r="100" spans="1:4" ht="21.95" customHeight="1" x14ac:dyDescent="0.15">
      <c r="A100" s="284"/>
      <c r="B100" s="145" t="s">
        <v>837</v>
      </c>
      <c r="C100" s="145" t="s">
        <v>838</v>
      </c>
      <c r="D100" s="149" t="e">
        <f>MIRR(範囲, 安全利率, 危険利率)</f>
        <v>#NAME?</v>
      </c>
    </row>
    <row r="101" spans="1:4" ht="21.95" customHeight="1" x14ac:dyDescent="0.15">
      <c r="A101" s="284"/>
      <c r="B101" s="145" t="s">
        <v>839</v>
      </c>
      <c r="C101" s="145" t="s">
        <v>840</v>
      </c>
      <c r="D101" s="149" t="e">
        <f>NOMINAL(実効利率, 複利計算期間)</f>
        <v>#NAME?</v>
      </c>
    </row>
    <row r="102" spans="1:4" ht="21.95" customHeight="1" x14ac:dyDescent="0.15">
      <c r="A102" s="284"/>
      <c r="B102" s="145" t="s">
        <v>841</v>
      </c>
      <c r="C102" s="145" t="s">
        <v>842</v>
      </c>
      <c r="D102" s="149" t="e">
        <f>NPER(利率, 定期支払額, 現在価値, 将来価値, 支払期日)</f>
        <v>#NAME?</v>
      </c>
    </row>
    <row r="103" spans="1:4" ht="29.1" customHeight="1" x14ac:dyDescent="0.15">
      <c r="A103" s="284"/>
      <c r="B103" s="145" t="s">
        <v>843</v>
      </c>
      <c r="C103" s="145" t="s">
        <v>844</v>
      </c>
      <c r="D103" s="149" t="s">
        <v>845</v>
      </c>
    </row>
    <row r="104" spans="1:4" ht="21.95" customHeight="1" x14ac:dyDescent="0.15">
      <c r="A104" s="284"/>
      <c r="B104" s="145" t="s">
        <v>846</v>
      </c>
      <c r="C104" s="145" t="s">
        <v>847</v>
      </c>
      <c r="D104" s="149" t="e">
        <f>ODDFPRICE(受領日, 満期日, 発行日, 最初の利札日, 利率, 利回り, 償還価値, 頻度, 基準)</f>
        <v>#NAME?</v>
      </c>
    </row>
    <row r="105" spans="1:4" ht="21.95" customHeight="1" x14ac:dyDescent="0.15">
      <c r="A105" s="284"/>
      <c r="B105" s="145" t="s">
        <v>848</v>
      </c>
      <c r="C105" s="145" t="s">
        <v>849</v>
      </c>
      <c r="D105" s="149" t="e">
        <f>ODDFYIELD(受領日, 満期日, 発行日, 最初の利札日, 利率, 現在価値, 償還価値, 頻度, 基準)</f>
        <v>#NAME?</v>
      </c>
    </row>
    <row r="106" spans="1:4" ht="29.1" customHeight="1" x14ac:dyDescent="0.15">
      <c r="A106" s="284"/>
      <c r="B106" s="145" t="s">
        <v>850</v>
      </c>
      <c r="C106" s="145" t="s">
        <v>851</v>
      </c>
      <c r="D106" s="149" t="e">
        <f>ODDLPRICE(受領日, 満期日, 最後の利札日, 利率, 利回り, 償還価値, 頻度, 基準)</f>
        <v>#NAME?</v>
      </c>
    </row>
    <row r="107" spans="1:4" ht="21.95" customHeight="1" x14ac:dyDescent="0.15">
      <c r="A107" s="284"/>
      <c r="B107" s="145" t="s">
        <v>852</v>
      </c>
      <c r="C107" s="145" t="s">
        <v>853</v>
      </c>
      <c r="D107" s="149" t="e">
        <f>ODDLYIELD(受領日, 満期日, 最後の利札日, 利率, 現在価格, 償還価値, 頻度, 基準)</f>
        <v>#NAME?</v>
      </c>
    </row>
    <row r="108" spans="1:4" ht="21.95" customHeight="1" x14ac:dyDescent="0.15">
      <c r="A108" s="284"/>
      <c r="B108" s="145" t="s">
        <v>854</v>
      </c>
      <c r="C108" s="145" t="s">
        <v>855</v>
      </c>
      <c r="D108" s="149" t="e">
        <f>PMT(利率, 期間, 現在価値, 将来価値, 支払期日)</f>
        <v>#NAME?</v>
      </c>
    </row>
    <row r="109" spans="1:4" ht="21.95" customHeight="1" x14ac:dyDescent="0.15">
      <c r="A109" s="284"/>
      <c r="B109" s="145" t="s">
        <v>856</v>
      </c>
      <c r="C109" s="145" t="s">
        <v>857</v>
      </c>
      <c r="D109" s="149" t="e">
        <f>PPMT(利率, 期, 期間, 現在価値, 将来価値, 支払期日)</f>
        <v>#NAME?</v>
      </c>
    </row>
    <row r="110" spans="1:4" ht="29.1" customHeight="1" x14ac:dyDescent="0.15">
      <c r="A110" s="284"/>
      <c r="B110" s="145" t="s">
        <v>858</v>
      </c>
      <c r="C110" s="145" t="s">
        <v>859</v>
      </c>
      <c r="D110" s="149" t="e">
        <f>PRICE(受領日, 満期日, 利率, 利回り, 償還価値, 頻度, 基準)</f>
        <v>#NAME?</v>
      </c>
    </row>
    <row r="111" spans="1:4" ht="21.95" customHeight="1" x14ac:dyDescent="0.15">
      <c r="A111" s="284"/>
      <c r="B111" s="145" t="s">
        <v>860</v>
      </c>
      <c r="C111" s="145" t="s">
        <v>861</v>
      </c>
      <c r="D111" s="149" t="e">
        <f>PRICEDISC(受領日, 満期日, 割引率, 償還価値, 基準)</f>
        <v>#NAME?</v>
      </c>
    </row>
    <row r="112" spans="1:4" ht="29.1" customHeight="1" x14ac:dyDescent="0.15">
      <c r="A112" s="284"/>
      <c r="B112" s="145" t="s">
        <v>862</v>
      </c>
      <c r="C112" s="145" t="s">
        <v>863</v>
      </c>
      <c r="D112" s="149" t="e">
        <f>PRICEMAT(受領日, 満期日, 発行日, 利率, 利回り, 基準)</f>
        <v>#NAME?</v>
      </c>
    </row>
    <row r="113" spans="1:4" ht="21.95" customHeight="1" x14ac:dyDescent="0.15">
      <c r="A113" s="284"/>
      <c r="B113" s="145" t="s">
        <v>864</v>
      </c>
      <c r="C113" s="145" t="s">
        <v>865</v>
      </c>
      <c r="D113" s="149" t="e">
        <f>PV(利率, 期間, 定期支払額, 将来価値, 支払期日)</f>
        <v>#NAME?</v>
      </c>
    </row>
    <row r="114" spans="1:4" ht="21.95" customHeight="1" x14ac:dyDescent="0.15">
      <c r="A114" s="284"/>
      <c r="B114" s="145" t="s">
        <v>866</v>
      </c>
      <c r="C114" s="145" t="s">
        <v>867</v>
      </c>
      <c r="D114" s="149" t="e">
        <f>RATE(期間, 定期支払額, 現在価値, 将来価値, 支払期日, 推定値)</f>
        <v>#NAME?</v>
      </c>
    </row>
    <row r="115" spans="1:4" ht="29.1" customHeight="1" x14ac:dyDescent="0.15">
      <c r="A115" s="284"/>
      <c r="B115" s="145" t="s">
        <v>868</v>
      </c>
      <c r="C115" s="145" t="s">
        <v>869</v>
      </c>
      <c r="D115" s="149" t="e">
        <f>RECEIVED(受領日, 満期日, 投資額, 割引率, 基準)</f>
        <v>#NAME?</v>
      </c>
    </row>
    <row r="116" spans="1:4" ht="21.95" customHeight="1" x14ac:dyDescent="0.15">
      <c r="A116" s="284"/>
      <c r="B116" s="145" t="s">
        <v>870</v>
      </c>
      <c r="C116" s="145" t="s">
        <v>871</v>
      </c>
      <c r="D116" s="149" t="e">
        <f>SLN(取得価額, 残存価額, 耐用年数)</f>
        <v>#NAME?</v>
      </c>
    </row>
    <row r="117" spans="1:4" ht="29.1" customHeight="1" x14ac:dyDescent="0.15">
      <c r="A117" s="284"/>
      <c r="B117" s="145" t="s">
        <v>872</v>
      </c>
      <c r="C117" s="145" t="s">
        <v>873</v>
      </c>
      <c r="D117" s="149" t="e">
        <f>SYD(取得価額, 残存価額, 耐用年数, 期間)</f>
        <v>#NAME?</v>
      </c>
    </row>
    <row r="118" spans="1:4" ht="21.95" customHeight="1" x14ac:dyDescent="0.15">
      <c r="A118" s="284"/>
      <c r="B118" s="145" t="s">
        <v>874</v>
      </c>
      <c r="C118" s="145" t="s">
        <v>875</v>
      </c>
      <c r="D118" s="149" t="e">
        <f>TBILLEQ(受領日, 満期日, 割引率)</f>
        <v>#NAME?</v>
      </c>
    </row>
    <row r="119" spans="1:4" ht="29.1" customHeight="1" x14ac:dyDescent="0.15">
      <c r="A119" s="284"/>
      <c r="B119" s="145" t="s">
        <v>876</v>
      </c>
      <c r="C119" s="145" t="s">
        <v>877</v>
      </c>
      <c r="D119" s="149" t="e">
        <f>TBILLPRICE(受領日, 満期日, 割引率)</f>
        <v>#NAME?</v>
      </c>
    </row>
    <row r="120" spans="1:4" ht="21.95" customHeight="1" x14ac:dyDescent="0.15">
      <c r="A120" s="284"/>
      <c r="B120" s="145" t="s">
        <v>878</v>
      </c>
      <c r="C120" s="145" t="s">
        <v>879</v>
      </c>
      <c r="D120" s="149" t="e">
        <f>TBILLYIELD(受領日, 満期日, 現在価値)</f>
        <v>#NAME?</v>
      </c>
    </row>
    <row r="121" spans="1:4" ht="21.95" customHeight="1" x14ac:dyDescent="0.15">
      <c r="A121" s="284"/>
      <c r="B121" s="145" t="s">
        <v>880</v>
      </c>
      <c r="C121" s="145" t="s">
        <v>881</v>
      </c>
      <c r="D121" s="149" t="e">
        <f>VDB(取得価額, 残存価額, 耐用年数, 開始期, 終了期, 率, 切り替えなし)</f>
        <v>#NAME?</v>
      </c>
    </row>
    <row r="122" spans="1:4" ht="21.95" customHeight="1" x14ac:dyDescent="0.15">
      <c r="A122" s="284"/>
      <c r="B122" s="145" t="s">
        <v>882</v>
      </c>
      <c r="C122" s="145" t="s">
        <v>883</v>
      </c>
      <c r="D122" s="149" t="e">
        <f>XIRR(範囲, 日付, 推定値)</f>
        <v>#NAME?</v>
      </c>
    </row>
    <row r="123" spans="1:4" ht="29.1" customHeight="1" x14ac:dyDescent="0.15">
      <c r="A123" s="284"/>
      <c r="B123" s="145" t="s">
        <v>884</v>
      </c>
      <c r="C123" s="145" t="s">
        <v>885</v>
      </c>
      <c r="D123" s="149" t="e">
        <f>XNPV(割引率, キャッシュ フロー, 日付)</f>
        <v>#NAME?</v>
      </c>
    </row>
    <row r="124" spans="1:4" ht="21.95" customHeight="1" x14ac:dyDescent="0.15">
      <c r="A124" s="284"/>
      <c r="B124" s="145" t="s">
        <v>886</v>
      </c>
      <c r="C124" s="145" t="s">
        <v>887</v>
      </c>
      <c r="D124" s="149" t="e">
        <f>YIELD(受領日, 満期日, 利率, 現在価値, 償還価値, 頻度, 基準)</f>
        <v>#NAME?</v>
      </c>
    </row>
    <row r="125" spans="1:4" ht="21.95" customHeight="1" x14ac:dyDescent="0.15">
      <c r="A125" s="284"/>
      <c r="B125" s="145" t="s">
        <v>888</v>
      </c>
      <c r="C125" s="145" t="s">
        <v>889</v>
      </c>
      <c r="D125" s="149" t="e">
        <f>YIELDDISC(受領日, 満期日, 現在価値, 償還価値, 基準)</f>
        <v>#NAME?</v>
      </c>
    </row>
    <row r="126" spans="1:4" ht="21.95" customHeight="1" x14ac:dyDescent="0.15">
      <c r="A126" s="285"/>
      <c r="B126" s="145" t="s">
        <v>890</v>
      </c>
      <c r="C126" s="145" t="s">
        <v>891</v>
      </c>
      <c r="D126" s="149" t="e">
        <f>YIELDMAT(受領日, 満期日, 発行日, 利率, 現在価値, 基準)</f>
        <v>#NAME?</v>
      </c>
    </row>
    <row r="127" spans="1:4" ht="21.95" customHeight="1" x14ac:dyDescent="0.15">
      <c r="A127" s="145"/>
      <c r="B127" s="146" t="s">
        <v>892</v>
      </c>
      <c r="C127" s="146" t="s">
        <v>660</v>
      </c>
      <c r="D127" s="150" t="s">
        <v>661</v>
      </c>
    </row>
    <row r="128" spans="1:4" ht="29.1" customHeight="1" x14ac:dyDescent="0.15">
      <c r="A128" s="286" t="s">
        <v>892</v>
      </c>
      <c r="B128" s="145" t="s">
        <v>893</v>
      </c>
      <c r="C128" s="145" t="s">
        <v>894</v>
      </c>
      <c r="D128" s="149" t="e">
        <f ca="1">CELL(検査の種類, 対象範囲)</f>
        <v>#NAME?</v>
      </c>
    </row>
    <row r="129" spans="1:4" ht="21.95" customHeight="1" x14ac:dyDescent="0.15">
      <c r="A129" s="287"/>
      <c r="B129" s="145" t="s">
        <v>895</v>
      </c>
      <c r="C129" s="145" t="s">
        <v>896</v>
      </c>
      <c r="D129" s="149" t="e">
        <f>COUNTBLANK(範囲)</f>
        <v>#NAME?</v>
      </c>
    </row>
    <row r="130" spans="1:4" ht="21.95" customHeight="1" x14ac:dyDescent="0.15">
      <c r="A130" s="287"/>
      <c r="B130" s="145" t="s">
        <v>897</v>
      </c>
      <c r="C130" s="145" t="s">
        <v>898</v>
      </c>
      <c r="D130" s="149">
        <f>ERROR.TYPE(エラー値)</f>
        <v>5</v>
      </c>
    </row>
    <row r="131" spans="1:4" ht="21.95" customHeight="1" x14ac:dyDescent="0.15">
      <c r="A131" s="287"/>
      <c r="B131" s="145" t="s">
        <v>899</v>
      </c>
      <c r="C131" s="145" t="s">
        <v>900</v>
      </c>
      <c r="D131" s="149" t="e">
        <f ca="1">INFO(検査の種類)</f>
        <v>#NAME?</v>
      </c>
    </row>
    <row r="132" spans="1:4" ht="21.95" customHeight="1" x14ac:dyDescent="0.15">
      <c r="A132" s="287"/>
      <c r="B132" s="145" t="s">
        <v>901</v>
      </c>
      <c r="C132" s="145" t="s">
        <v>902</v>
      </c>
      <c r="D132" s="149" t="b">
        <f>ISBLANK(テスト対象)</f>
        <v>0</v>
      </c>
    </row>
    <row r="133" spans="1:4" ht="21.95" customHeight="1" x14ac:dyDescent="0.15">
      <c r="A133" s="287"/>
      <c r="B133" s="145" t="s">
        <v>903</v>
      </c>
      <c r="C133" s="145" t="s">
        <v>904</v>
      </c>
      <c r="D133" s="149" t="b">
        <f xml:space="preserve"> ISERR(テスト対象)</f>
        <v>1</v>
      </c>
    </row>
    <row r="134" spans="1:4" ht="29.1" customHeight="1" x14ac:dyDescent="0.15">
      <c r="A134" s="287"/>
      <c r="B134" s="145" t="s">
        <v>905</v>
      </c>
      <c r="C134" s="145" t="s">
        <v>906</v>
      </c>
      <c r="D134" s="149" t="b">
        <f xml:space="preserve"> ISERROR(テスト対象)</f>
        <v>1</v>
      </c>
    </row>
    <row r="135" spans="1:4" ht="21.95" customHeight="1" x14ac:dyDescent="0.15">
      <c r="A135" s="287"/>
      <c r="B135" s="145" t="s">
        <v>907</v>
      </c>
      <c r="C135" s="145" t="s">
        <v>908</v>
      </c>
      <c r="D135" s="149" t="e">
        <f>ISEVEN(数値)</f>
        <v>#NAME?</v>
      </c>
    </row>
    <row r="136" spans="1:4" ht="21.95" customHeight="1" x14ac:dyDescent="0.15">
      <c r="A136" s="287"/>
      <c r="B136" s="145" t="s">
        <v>909</v>
      </c>
      <c r="C136" s="145" t="s">
        <v>910</v>
      </c>
      <c r="D136" s="149" t="b">
        <f xml:space="preserve"> ISLOGICAL(テスト対象)</f>
        <v>0</v>
      </c>
    </row>
    <row r="137" spans="1:4" ht="21.95" customHeight="1" x14ac:dyDescent="0.15">
      <c r="A137" s="287"/>
      <c r="B137" s="145" t="s">
        <v>911</v>
      </c>
      <c r="C137" s="145" t="s">
        <v>912</v>
      </c>
      <c r="D137" s="149" t="b">
        <f xml:space="preserve"> ISNA(テスト対象)</f>
        <v>0</v>
      </c>
    </row>
    <row r="138" spans="1:4" ht="21.95" customHeight="1" x14ac:dyDescent="0.15">
      <c r="A138" s="287"/>
      <c r="B138" s="145" t="s">
        <v>913</v>
      </c>
      <c r="C138" s="145" t="s">
        <v>914</v>
      </c>
      <c r="D138" s="149" t="b">
        <f>ISNONTEXT(テスト対象)</f>
        <v>1</v>
      </c>
    </row>
    <row r="139" spans="1:4" ht="21.95" customHeight="1" x14ac:dyDescent="0.15">
      <c r="A139" s="287"/>
      <c r="B139" s="145" t="s">
        <v>915</v>
      </c>
      <c r="C139" s="145" t="s">
        <v>916</v>
      </c>
      <c r="D139" s="149" t="b">
        <f>ISNUMBER(テスト対象)</f>
        <v>0</v>
      </c>
    </row>
    <row r="140" spans="1:4" ht="21.95" customHeight="1" x14ac:dyDescent="0.15">
      <c r="A140" s="287"/>
      <c r="B140" s="145" t="s">
        <v>917</v>
      </c>
      <c r="C140" s="145" t="s">
        <v>918</v>
      </c>
      <c r="D140" s="149" t="e">
        <f>ISODD(テスト対象)</f>
        <v>#NAME?</v>
      </c>
    </row>
    <row r="141" spans="1:4" ht="21.95" customHeight="1" x14ac:dyDescent="0.15">
      <c r="A141" s="287"/>
      <c r="B141" s="145" t="s">
        <v>919</v>
      </c>
      <c r="C141" s="145" t="s">
        <v>920</v>
      </c>
      <c r="D141" s="149" t="b">
        <f>ISREF(テスト対象)</f>
        <v>0</v>
      </c>
    </row>
    <row r="142" spans="1:4" ht="21.95" customHeight="1" x14ac:dyDescent="0.15">
      <c r="A142" s="287"/>
      <c r="B142" s="145" t="s">
        <v>921</v>
      </c>
      <c r="C142" s="145" t="s">
        <v>922</v>
      </c>
      <c r="D142" s="149" t="b">
        <f>ISTEXT(テスト対象)</f>
        <v>0</v>
      </c>
    </row>
    <row r="143" spans="1:4" ht="21.95" customHeight="1" x14ac:dyDescent="0.15">
      <c r="A143" s="287"/>
      <c r="B143" s="145" t="s">
        <v>923</v>
      </c>
      <c r="C143" s="145" t="s">
        <v>924</v>
      </c>
      <c r="D143" s="149" t="e">
        <f>N(値)</f>
        <v>#NAME?</v>
      </c>
    </row>
    <row r="144" spans="1:4" ht="21.95" customHeight="1" x14ac:dyDescent="0.15">
      <c r="A144" s="287"/>
      <c r="B144" s="145" t="s">
        <v>925</v>
      </c>
      <c r="C144" s="145" t="s">
        <v>926</v>
      </c>
      <c r="D144" s="149" t="e">
        <f>NA()</f>
        <v>#N/A</v>
      </c>
    </row>
    <row r="145" spans="1:4" ht="21.95" customHeight="1" x14ac:dyDescent="0.15">
      <c r="A145" s="287"/>
      <c r="B145" s="145" t="s">
        <v>927</v>
      </c>
      <c r="C145" s="145" t="s">
        <v>928</v>
      </c>
      <c r="D145" s="149" t="e">
        <f>PHONETIC(範囲)</f>
        <v>#NAME?</v>
      </c>
    </row>
    <row r="146" spans="1:4" ht="21.95" customHeight="1" x14ac:dyDescent="0.15">
      <c r="A146" s="288"/>
      <c r="B146" s="145" t="s">
        <v>929</v>
      </c>
      <c r="C146" s="145" t="s">
        <v>930</v>
      </c>
      <c r="D146" s="149">
        <f>TYPE(データタイプ)</f>
        <v>16</v>
      </c>
    </row>
    <row r="147" spans="1:4" ht="21.95" customHeight="1" x14ac:dyDescent="0.15">
      <c r="A147" s="145"/>
      <c r="B147" s="146" t="s">
        <v>931</v>
      </c>
      <c r="C147" s="146" t="s">
        <v>660</v>
      </c>
      <c r="D147" s="150" t="s">
        <v>661</v>
      </c>
    </row>
    <row r="148" spans="1:4" ht="21.95" customHeight="1" x14ac:dyDescent="0.15">
      <c r="A148" s="289" t="s">
        <v>931</v>
      </c>
      <c r="B148" s="145" t="s">
        <v>74</v>
      </c>
      <c r="C148" s="145" t="s">
        <v>932</v>
      </c>
      <c r="D148" s="149" t="e">
        <f>ABS(数値)</f>
        <v>#NAME?</v>
      </c>
    </row>
    <row r="149" spans="1:4" ht="21.95" customHeight="1" x14ac:dyDescent="0.15">
      <c r="A149" s="290"/>
      <c r="B149" s="145" t="s">
        <v>108</v>
      </c>
      <c r="C149" s="145" t="s">
        <v>933</v>
      </c>
      <c r="D149" s="149" t="e">
        <f>ACOS(数値)</f>
        <v>#NAME?</v>
      </c>
    </row>
    <row r="150" spans="1:4" ht="21.95" customHeight="1" x14ac:dyDescent="0.15">
      <c r="A150" s="290"/>
      <c r="B150" s="145" t="s">
        <v>120</v>
      </c>
      <c r="C150" s="145" t="s">
        <v>934</v>
      </c>
      <c r="D150" s="149" t="e">
        <f>ACOSH(数値)</f>
        <v>#NAME?</v>
      </c>
    </row>
    <row r="151" spans="1:4" ht="21.95" customHeight="1" x14ac:dyDescent="0.15">
      <c r="A151" s="290"/>
      <c r="B151" s="145" t="s">
        <v>106</v>
      </c>
      <c r="C151" s="145" t="s">
        <v>935</v>
      </c>
      <c r="D151" s="149" t="e">
        <f>ASIN(数値)</f>
        <v>#NAME?</v>
      </c>
    </row>
    <row r="152" spans="1:4" ht="21.95" customHeight="1" x14ac:dyDescent="0.15">
      <c r="A152" s="290"/>
      <c r="B152" s="145" t="s">
        <v>116</v>
      </c>
      <c r="C152" s="145" t="s">
        <v>936</v>
      </c>
      <c r="D152" s="149" t="e">
        <f>ASINH(数値)</f>
        <v>#NAME?</v>
      </c>
    </row>
    <row r="153" spans="1:4" ht="29.1" customHeight="1" x14ac:dyDescent="0.15">
      <c r="A153" s="290"/>
      <c r="B153" s="145" t="s">
        <v>110</v>
      </c>
      <c r="C153" s="145" t="s">
        <v>937</v>
      </c>
      <c r="D153" s="149" t="e">
        <f>ATAN(数値)</f>
        <v>#NAME?</v>
      </c>
    </row>
    <row r="154" spans="1:4" ht="21.95" customHeight="1" x14ac:dyDescent="0.15">
      <c r="A154" s="290"/>
      <c r="B154" s="145" t="s">
        <v>112</v>
      </c>
      <c r="C154" s="145" t="s">
        <v>938</v>
      </c>
      <c r="D154" s="149" t="e">
        <f>ATAN2(x座標, y座標)</f>
        <v>#NAME?</v>
      </c>
    </row>
    <row r="155" spans="1:4" ht="29.1" customHeight="1" x14ac:dyDescent="0.15">
      <c r="A155" s="290"/>
      <c r="B155" s="145" t="s">
        <v>124</v>
      </c>
      <c r="C155" s="145" t="s">
        <v>937</v>
      </c>
      <c r="D155" s="149" t="e">
        <f>ATANH(数値)</f>
        <v>#NAME?</v>
      </c>
    </row>
    <row r="156" spans="1:4" ht="21.95" customHeight="1" x14ac:dyDescent="0.15">
      <c r="A156" s="290"/>
      <c r="B156" s="145" t="s">
        <v>939</v>
      </c>
      <c r="C156" s="145" t="s">
        <v>940</v>
      </c>
      <c r="D156" s="149" t="e">
        <f>CEILING(数値, 基準値)</f>
        <v>#NAME?</v>
      </c>
    </row>
    <row r="157" spans="1:4" ht="21.95" customHeight="1" x14ac:dyDescent="0.15">
      <c r="A157" s="290"/>
      <c r="B157" s="145" t="s">
        <v>941</v>
      </c>
      <c r="C157" s="145" t="s">
        <v>942</v>
      </c>
      <c r="D157" s="149" t="e">
        <f>COMBIN(総数, 抜き取り数)</f>
        <v>#NAME?</v>
      </c>
    </row>
    <row r="158" spans="1:4" ht="21.95" customHeight="1" x14ac:dyDescent="0.15">
      <c r="A158" s="290"/>
      <c r="B158" s="145" t="s">
        <v>102</v>
      </c>
      <c r="C158" s="145" t="s">
        <v>943</v>
      </c>
      <c r="D158" s="149" t="e">
        <f>COS(数値)</f>
        <v>#NAME?</v>
      </c>
    </row>
    <row r="159" spans="1:4" ht="21.95" customHeight="1" x14ac:dyDescent="0.15">
      <c r="A159" s="290"/>
      <c r="B159" s="145" t="s">
        <v>118</v>
      </c>
      <c r="C159" s="145" t="s">
        <v>944</v>
      </c>
      <c r="D159" s="149" t="e">
        <f>COSH(数値)</f>
        <v>#NAME?</v>
      </c>
    </row>
    <row r="160" spans="1:4" ht="21.95" customHeight="1" x14ac:dyDescent="0.15">
      <c r="A160" s="290"/>
      <c r="B160" s="145" t="s">
        <v>945</v>
      </c>
      <c r="C160" s="145" t="s">
        <v>946</v>
      </c>
      <c r="D160" s="149" t="e">
        <f>COUNTIF(範囲, 検索条件)</f>
        <v>#NAME?</v>
      </c>
    </row>
    <row r="161" spans="1:4" ht="21.95" customHeight="1" x14ac:dyDescent="0.15">
      <c r="A161" s="290"/>
      <c r="B161" s="145" t="s">
        <v>95</v>
      </c>
      <c r="C161" s="145" t="s">
        <v>947</v>
      </c>
      <c r="D161" s="149" t="e">
        <f>DEGREES(角度)</f>
        <v>#NAME?</v>
      </c>
    </row>
    <row r="162" spans="1:4" ht="21.95" customHeight="1" x14ac:dyDescent="0.15">
      <c r="A162" s="290"/>
      <c r="B162" s="145" t="s">
        <v>948</v>
      </c>
      <c r="C162" s="145" t="s">
        <v>949</v>
      </c>
      <c r="D162" s="149" t="e">
        <f>EVEN(数値)</f>
        <v>#NAME?</v>
      </c>
    </row>
    <row r="163" spans="1:4" ht="21.95" customHeight="1" x14ac:dyDescent="0.15">
      <c r="A163" s="290"/>
      <c r="B163" s="145" t="s">
        <v>49</v>
      </c>
      <c r="C163" s="145" t="s">
        <v>950</v>
      </c>
      <c r="D163" s="149" t="e">
        <f>EXP(数値)</f>
        <v>#NAME?</v>
      </c>
    </row>
    <row r="164" spans="1:4" ht="21.95" customHeight="1" x14ac:dyDescent="0.15">
      <c r="A164" s="290"/>
      <c r="B164" s="145" t="s">
        <v>57</v>
      </c>
      <c r="C164" s="145" t="s">
        <v>951</v>
      </c>
      <c r="D164" s="149" t="e">
        <f>FACT(数値)</f>
        <v>#NAME?</v>
      </c>
    </row>
    <row r="165" spans="1:4" ht="21.95" customHeight="1" x14ac:dyDescent="0.15">
      <c r="A165" s="290"/>
      <c r="B165" s="145" t="s">
        <v>61</v>
      </c>
      <c r="C165" s="145" t="s">
        <v>952</v>
      </c>
      <c r="D165" s="149" t="e">
        <f>FACTDOUBLE(数値)</f>
        <v>#NAME?</v>
      </c>
    </row>
    <row r="166" spans="1:4" ht="21.95" customHeight="1" x14ac:dyDescent="0.15">
      <c r="A166" s="290"/>
      <c r="B166" s="145" t="s">
        <v>953</v>
      </c>
      <c r="C166" s="145" t="s">
        <v>954</v>
      </c>
      <c r="D166" s="149" t="e">
        <f>FLOOR(数値, 基準値)</f>
        <v>#NAME?</v>
      </c>
    </row>
    <row r="167" spans="1:4" ht="21.95" customHeight="1" x14ac:dyDescent="0.15">
      <c r="A167" s="290"/>
      <c r="B167" s="145" t="s">
        <v>92</v>
      </c>
      <c r="C167" s="145" t="s">
        <v>955</v>
      </c>
      <c r="D167" s="149" t="s">
        <v>956</v>
      </c>
    </row>
    <row r="168" spans="1:4" ht="21.95" customHeight="1" x14ac:dyDescent="0.15">
      <c r="A168" s="290"/>
      <c r="B168" s="145" t="s">
        <v>957</v>
      </c>
      <c r="C168" s="145" t="s">
        <v>958</v>
      </c>
      <c r="D168" s="149" t="e">
        <f>INT(数値)</f>
        <v>#NAME?</v>
      </c>
    </row>
    <row r="169" spans="1:4" ht="21.95" customHeight="1" x14ac:dyDescent="0.15">
      <c r="A169" s="290"/>
      <c r="B169" s="145" t="s">
        <v>90</v>
      </c>
      <c r="C169" s="145" t="s">
        <v>955</v>
      </c>
      <c r="D169" s="149" t="s">
        <v>959</v>
      </c>
    </row>
    <row r="170" spans="1:4" ht="21.95" customHeight="1" x14ac:dyDescent="0.15">
      <c r="A170" s="290"/>
      <c r="B170" s="145" t="s">
        <v>66</v>
      </c>
      <c r="C170" s="145" t="s">
        <v>960</v>
      </c>
      <c r="D170" s="149" t="e">
        <f>LN(数値)</f>
        <v>#NAME?</v>
      </c>
    </row>
    <row r="171" spans="1:4" ht="21.95" customHeight="1" x14ac:dyDescent="0.15">
      <c r="A171" s="290"/>
      <c r="B171" s="145" t="s">
        <v>64</v>
      </c>
      <c r="C171" s="145" t="s">
        <v>961</v>
      </c>
      <c r="D171" s="149" t="e">
        <f>LOG(数値, 底)</f>
        <v>#NAME?</v>
      </c>
    </row>
    <row r="172" spans="1:4" ht="21.95" customHeight="1" x14ac:dyDescent="0.15">
      <c r="A172" s="290"/>
      <c r="B172" s="145" t="s">
        <v>71</v>
      </c>
      <c r="C172" s="145" t="s">
        <v>962</v>
      </c>
      <c r="D172" s="149" t="e">
        <f>LOG10(数値)</f>
        <v>#NAME?</v>
      </c>
    </row>
    <row r="173" spans="1:4" ht="21.95" customHeight="1" x14ac:dyDescent="0.15">
      <c r="A173" s="290"/>
      <c r="B173" s="145" t="s">
        <v>150</v>
      </c>
      <c r="C173" s="145" t="s">
        <v>963</v>
      </c>
      <c r="D173" s="149" t="e">
        <f>MDETERM(配列)</f>
        <v>#NAME?</v>
      </c>
    </row>
    <row r="174" spans="1:4" ht="21.95" customHeight="1" x14ac:dyDescent="0.15">
      <c r="A174" s="290"/>
      <c r="B174" s="145" t="s">
        <v>152</v>
      </c>
      <c r="C174" s="145" t="s">
        <v>964</v>
      </c>
      <c r="D174" s="149" t="e">
        <f>MINVERSE(配列)</f>
        <v>#NAME?</v>
      </c>
    </row>
    <row r="175" spans="1:4" ht="21.95" customHeight="1" x14ac:dyDescent="0.15">
      <c r="A175" s="290"/>
      <c r="B175" s="145" t="s">
        <v>139</v>
      </c>
      <c r="C175" s="145" t="s">
        <v>965</v>
      </c>
      <c r="D175" s="149" t="e">
        <f>MMULT(配列1, 配列2)</f>
        <v>#NAME?</v>
      </c>
    </row>
    <row r="176" spans="1:4" ht="21.95" customHeight="1" x14ac:dyDescent="0.15">
      <c r="A176" s="290"/>
      <c r="B176" s="145" t="s">
        <v>36</v>
      </c>
      <c r="C176" s="145" t="s">
        <v>966</v>
      </c>
      <c r="D176" s="149" t="e">
        <f>MOD(数値, 除数)</f>
        <v>#NAME?</v>
      </c>
    </row>
    <row r="177" spans="1:4" ht="21.95" customHeight="1" x14ac:dyDescent="0.15">
      <c r="A177" s="290"/>
      <c r="B177" s="145" t="s">
        <v>967</v>
      </c>
      <c r="C177" s="145" t="s">
        <v>968</v>
      </c>
      <c r="D177" s="149" t="e">
        <f>MROUND(数値, 倍数)</f>
        <v>#NAME?</v>
      </c>
    </row>
    <row r="178" spans="1:4" ht="21.95" customHeight="1" x14ac:dyDescent="0.15">
      <c r="A178" s="290"/>
      <c r="B178" s="145" t="s">
        <v>59</v>
      </c>
      <c r="C178" s="145" t="s">
        <v>969</v>
      </c>
      <c r="D178" s="149" t="s">
        <v>970</v>
      </c>
    </row>
    <row r="179" spans="1:4" ht="21.95" customHeight="1" x14ac:dyDescent="0.15">
      <c r="A179" s="290"/>
      <c r="B179" s="145" t="s">
        <v>971</v>
      </c>
      <c r="C179" s="145" t="s">
        <v>972</v>
      </c>
      <c r="D179" s="149" t="e">
        <f>ODD(数値)</f>
        <v>#NAME?</v>
      </c>
    </row>
    <row r="180" spans="1:4" ht="21.95" customHeight="1" x14ac:dyDescent="0.15">
      <c r="A180" s="290"/>
      <c r="B180" s="145" t="s">
        <v>126</v>
      </c>
      <c r="C180" s="145" t="s">
        <v>973</v>
      </c>
      <c r="D180" s="149">
        <f>PI( )</f>
        <v>3.1415926535897931</v>
      </c>
    </row>
    <row r="181" spans="1:4" ht="21.95" customHeight="1" x14ac:dyDescent="0.15">
      <c r="A181" s="290"/>
      <c r="B181" s="145" t="s">
        <v>45</v>
      </c>
      <c r="C181" s="145" t="s">
        <v>974</v>
      </c>
      <c r="D181" s="149" t="e">
        <f>POWER(数値, 指数)</f>
        <v>#NAME?</v>
      </c>
    </row>
    <row r="182" spans="1:4" ht="21.95" customHeight="1" x14ac:dyDescent="0.15">
      <c r="A182" s="290"/>
      <c r="B182" s="145" t="s">
        <v>38</v>
      </c>
      <c r="C182" s="145" t="s">
        <v>975</v>
      </c>
      <c r="D182" s="149" t="s">
        <v>976</v>
      </c>
    </row>
    <row r="183" spans="1:4" ht="21.95" customHeight="1" x14ac:dyDescent="0.15">
      <c r="A183" s="290"/>
      <c r="B183" s="145" t="s">
        <v>34</v>
      </c>
      <c r="C183" s="145" t="s">
        <v>977</v>
      </c>
      <c r="D183" s="149" t="e">
        <f>QUOTIENT(分子, 分母)</f>
        <v>#NAME?</v>
      </c>
    </row>
    <row r="184" spans="1:4" ht="21.95" customHeight="1" x14ac:dyDescent="0.15">
      <c r="A184" s="290"/>
      <c r="B184" s="145" t="s">
        <v>132</v>
      </c>
      <c r="C184" s="145" t="s">
        <v>978</v>
      </c>
      <c r="D184" s="149">
        <f ca="1">RAND()</f>
        <v>0.79500089388118411</v>
      </c>
    </row>
    <row r="185" spans="1:4" ht="21.95" customHeight="1" x14ac:dyDescent="0.15">
      <c r="A185" s="290"/>
      <c r="B185" s="145" t="s">
        <v>134</v>
      </c>
      <c r="C185" s="145" t="s">
        <v>979</v>
      </c>
      <c r="D185" s="149" t="e">
        <f ca="1">RANDBETWEEN(最小値, 最大値)</f>
        <v>#NAME?</v>
      </c>
    </row>
    <row r="186" spans="1:4" ht="21.95" customHeight="1" x14ac:dyDescent="0.15">
      <c r="A186" s="290"/>
      <c r="B186" s="145" t="s">
        <v>980</v>
      </c>
      <c r="C186" s="145" t="s">
        <v>981</v>
      </c>
      <c r="D186" s="149" t="e">
        <f>ROMAN(数値, 書式)</f>
        <v>#NAME?</v>
      </c>
    </row>
    <row r="187" spans="1:4" ht="21.95" customHeight="1" x14ac:dyDescent="0.15">
      <c r="A187" s="290"/>
      <c r="B187" s="145" t="s">
        <v>982</v>
      </c>
      <c r="C187" s="145" t="s">
        <v>983</v>
      </c>
      <c r="D187" s="149" t="e">
        <f>ROUND(数値, 桁数)</f>
        <v>#NAME?</v>
      </c>
    </row>
    <row r="188" spans="1:4" ht="21.95" customHeight="1" x14ac:dyDescent="0.15">
      <c r="A188" s="290"/>
      <c r="B188" s="145" t="s">
        <v>984</v>
      </c>
      <c r="C188" s="145" t="s">
        <v>985</v>
      </c>
      <c r="D188" s="149" t="e">
        <f>ROUNDDOWN(数値, 桁数)</f>
        <v>#NAME?</v>
      </c>
    </row>
    <row r="189" spans="1:4" ht="21.95" customHeight="1" x14ac:dyDescent="0.15">
      <c r="A189" s="290"/>
      <c r="B189" s="145" t="s">
        <v>986</v>
      </c>
      <c r="C189" s="145" t="s">
        <v>987</v>
      </c>
      <c r="D189" s="149" t="e">
        <f>ROUNDUP(数値, 桁数)</f>
        <v>#NAME?</v>
      </c>
    </row>
    <row r="190" spans="1:4" ht="21.95" customHeight="1" x14ac:dyDescent="0.15">
      <c r="A190" s="290"/>
      <c r="B190" s="145" t="s">
        <v>47</v>
      </c>
      <c r="C190" s="145" t="s">
        <v>988</v>
      </c>
      <c r="D190" s="149" t="e">
        <f>SERIESSUM(x, n, m, 係数)</f>
        <v>#NAME?</v>
      </c>
    </row>
    <row r="191" spans="1:4" ht="21.95" customHeight="1" x14ac:dyDescent="0.15">
      <c r="A191" s="290"/>
      <c r="B191" s="145" t="s">
        <v>129</v>
      </c>
      <c r="C191" s="145" t="s">
        <v>989</v>
      </c>
      <c r="D191" s="149" t="e">
        <f>SIGN(数値)</f>
        <v>#NAME?</v>
      </c>
    </row>
    <row r="192" spans="1:4" ht="21.95" customHeight="1" x14ac:dyDescent="0.15">
      <c r="A192" s="290"/>
      <c r="B192" s="145" t="s">
        <v>100</v>
      </c>
      <c r="C192" s="145" t="s">
        <v>990</v>
      </c>
      <c r="D192" s="149" t="e">
        <f>SIN(数値)</f>
        <v>#NAME?</v>
      </c>
    </row>
    <row r="193" spans="1:4" ht="21.95" customHeight="1" x14ac:dyDescent="0.15">
      <c r="A193" s="290"/>
      <c r="B193" s="145" t="s">
        <v>114</v>
      </c>
      <c r="C193" s="145" t="s">
        <v>991</v>
      </c>
      <c r="D193" s="149" t="e">
        <f>SINH(数値)</f>
        <v>#NAME?</v>
      </c>
    </row>
    <row r="194" spans="1:4" ht="21.95" customHeight="1" x14ac:dyDescent="0.15">
      <c r="A194" s="290"/>
      <c r="B194" s="145" t="s">
        <v>52</v>
      </c>
      <c r="C194" s="145" t="s">
        <v>992</v>
      </c>
      <c r="D194" s="149" t="e">
        <f>SQRT(数値)</f>
        <v>#NAME?</v>
      </c>
    </row>
    <row r="195" spans="1:4" ht="21.95" customHeight="1" x14ac:dyDescent="0.15">
      <c r="A195" s="290"/>
      <c r="B195" s="145" t="s">
        <v>54</v>
      </c>
      <c r="C195" s="145" t="s">
        <v>993</v>
      </c>
      <c r="D195" s="149" t="e">
        <f>SQRTPI(数値)</f>
        <v>#NAME?</v>
      </c>
    </row>
    <row r="196" spans="1:4" ht="21.95" customHeight="1" x14ac:dyDescent="0.15">
      <c r="A196" s="290"/>
      <c r="B196" s="145" t="s">
        <v>994</v>
      </c>
      <c r="C196" s="145" t="s">
        <v>995</v>
      </c>
      <c r="D196" s="149" t="s">
        <v>996</v>
      </c>
    </row>
    <row r="197" spans="1:4" ht="21.95" customHeight="1" x14ac:dyDescent="0.15">
      <c r="A197" s="290"/>
      <c r="B197" s="145" t="s">
        <v>997</v>
      </c>
      <c r="C197" s="145" t="s">
        <v>998</v>
      </c>
      <c r="D197" s="149" t="s">
        <v>999</v>
      </c>
    </row>
    <row r="198" spans="1:4" ht="21.95" customHeight="1" x14ac:dyDescent="0.15">
      <c r="A198" s="290"/>
      <c r="B198" s="145" t="s">
        <v>1000</v>
      </c>
      <c r="C198" s="145" t="s">
        <v>1001</v>
      </c>
      <c r="D198" s="149" t="e">
        <f>SUMIF(範囲, 検索条件, 合計範囲)</f>
        <v>#NAME?</v>
      </c>
    </row>
    <row r="199" spans="1:4" ht="21.95" customHeight="1" x14ac:dyDescent="0.15">
      <c r="A199" s="290"/>
      <c r="B199" s="145" t="s">
        <v>137</v>
      </c>
      <c r="C199" s="145" t="s">
        <v>1002</v>
      </c>
      <c r="D199" s="149" t="s">
        <v>1003</v>
      </c>
    </row>
    <row r="200" spans="1:4" ht="21.95" customHeight="1" x14ac:dyDescent="0.15">
      <c r="A200" s="290"/>
      <c r="B200" s="145" t="s">
        <v>43</v>
      </c>
      <c r="C200" s="145" t="s">
        <v>1004</v>
      </c>
      <c r="D200" s="149" t="s">
        <v>1005</v>
      </c>
    </row>
    <row r="201" spans="1:4" ht="21.95" customHeight="1" x14ac:dyDescent="0.15">
      <c r="A201" s="290"/>
      <c r="B201" s="145" t="s">
        <v>164</v>
      </c>
      <c r="C201" s="145" t="s">
        <v>1006</v>
      </c>
      <c r="D201" s="149" t="e">
        <f>SUMX2MY2(配列1, 配列2)</f>
        <v>#NAME?</v>
      </c>
    </row>
    <row r="202" spans="1:4" ht="21.95" customHeight="1" x14ac:dyDescent="0.15">
      <c r="A202" s="290"/>
      <c r="B202" s="145" t="s">
        <v>166</v>
      </c>
      <c r="C202" s="145" t="s">
        <v>1007</v>
      </c>
      <c r="D202" s="149" t="e">
        <f>SUMX2PY2(配列1, 配列2)</f>
        <v>#NAME?</v>
      </c>
    </row>
    <row r="203" spans="1:4" ht="21.95" customHeight="1" x14ac:dyDescent="0.15">
      <c r="A203" s="290"/>
      <c r="B203" s="145" t="s">
        <v>168</v>
      </c>
      <c r="C203" s="145" t="s">
        <v>1008</v>
      </c>
      <c r="D203" s="149" t="e">
        <f>SUMXMY2(配列1, 配列2)</f>
        <v>#NAME?</v>
      </c>
    </row>
    <row r="204" spans="1:4" ht="21.95" customHeight="1" x14ac:dyDescent="0.15">
      <c r="A204" s="290"/>
      <c r="B204" s="145" t="s">
        <v>104</v>
      </c>
      <c r="C204" s="145" t="s">
        <v>1009</v>
      </c>
      <c r="D204" s="149" t="e">
        <f>TAN(数値)</f>
        <v>#NAME?</v>
      </c>
    </row>
    <row r="205" spans="1:4" ht="21.95" customHeight="1" x14ac:dyDescent="0.15">
      <c r="A205" s="290"/>
      <c r="B205" s="145" t="s">
        <v>122</v>
      </c>
      <c r="C205" s="145" t="s">
        <v>1010</v>
      </c>
      <c r="D205" s="149" t="e">
        <f>TANH(数値)</f>
        <v>#NAME?</v>
      </c>
    </row>
    <row r="206" spans="1:4" ht="21.95" customHeight="1" x14ac:dyDescent="0.15">
      <c r="A206" s="291"/>
      <c r="B206" s="145" t="s">
        <v>1011</v>
      </c>
      <c r="C206" s="145" t="s">
        <v>1012</v>
      </c>
      <c r="D206" s="149" t="e">
        <f>TRUNC(数値, 桁数)</f>
        <v>#NAME?</v>
      </c>
    </row>
    <row r="207" spans="1:4" ht="21.95" customHeight="1" x14ac:dyDescent="0.15">
      <c r="A207" s="145"/>
      <c r="B207" s="146" t="s">
        <v>1013</v>
      </c>
      <c r="C207" s="146" t="s">
        <v>660</v>
      </c>
      <c r="D207" s="150" t="s">
        <v>661</v>
      </c>
    </row>
    <row r="208" spans="1:4" ht="21.95" customHeight="1" x14ac:dyDescent="0.15">
      <c r="A208" s="262" t="s">
        <v>1013</v>
      </c>
      <c r="B208" s="145" t="s">
        <v>1014</v>
      </c>
      <c r="C208" s="145" t="s">
        <v>1015</v>
      </c>
      <c r="D208" s="149" t="s">
        <v>1016</v>
      </c>
    </row>
    <row r="209" spans="1:4" ht="21.95" customHeight="1" x14ac:dyDescent="0.15">
      <c r="A209" s="263"/>
      <c r="B209" s="145" t="s">
        <v>1017</v>
      </c>
      <c r="C209" s="145" t="s">
        <v>1018</v>
      </c>
      <c r="D209" s="149" t="s">
        <v>1019</v>
      </c>
    </row>
    <row r="210" spans="1:4" ht="21.95" customHeight="1" x14ac:dyDescent="0.15">
      <c r="A210" s="263"/>
      <c r="B210" s="145" t="s">
        <v>1020</v>
      </c>
      <c r="C210" s="145" t="s">
        <v>1021</v>
      </c>
      <c r="D210" s="149" t="s">
        <v>1022</v>
      </c>
    </row>
    <row r="211" spans="1:4" ht="21.95" customHeight="1" x14ac:dyDescent="0.15">
      <c r="A211" s="263"/>
      <c r="B211" s="145" t="s">
        <v>1023</v>
      </c>
      <c r="C211" s="145" t="s">
        <v>1024</v>
      </c>
      <c r="D211" s="149" t="e">
        <f>BETADIST(x, α, β, A, B)</f>
        <v>#NAME?</v>
      </c>
    </row>
    <row r="212" spans="1:4" ht="21.95" customHeight="1" x14ac:dyDescent="0.15">
      <c r="A212" s="263"/>
      <c r="B212" s="145" t="s">
        <v>1025</v>
      </c>
      <c r="C212" s="145" t="s">
        <v>1026</v>
      </c>
      <c r="D212" s="149" t="e">
        <f>BETAINV(確率, α, β, A, B)</f>
        <v>#NAME?</v>
      </c>
    </row>
    <row r="213" spans="1:4" ht="21.95" customHeight="1" x14ac:dyDescent="0.15">
      <c r="A213" s="263"/>
      <c r="B213" s="145" t="s">
        <v>1027</v>
      </c>
      <c r="C213" s="145" t="s">
        <v>1028</v>
      </c>
      <c r="D213" s="149" t="e">
        <f>BINOMDIST(成功数, 試行回数, 成功率, 関数形式)</f>
        <v>#NAME?</v>
      </c>
    </row>
    <row r="214" spans="1:4" ht="21.95" customHeight="1" x14ac:dyDescent="0.15">
      <c r="A214" s="263"/>
      <c r="B214" s="145" t="s">
        <v>1029</v>
      </c>
      <c r="C214" s="145" t="s">
        <v>1030</v>
      </c>
      <c r="D214" s="149" t="e">
        <f>CHIDIST(x, 自由度)</f>
        <v>#NAME?</v>
      </c>
    </row>
    <row r="215" spans="1:4" ht="21.95" customHeight="1" x14ac:dyDescent="0.15">
      <c r="A215" s="263"/>
      <c r="B215" s="145" t="s">
        <v>1031</v>
      </c>
      <c r="C215" s="145" t="s">
        <v>1032</v>
      </c>
      <c r="D215" s="149" t="s">
        <v>1033</v>
      </c>
    </row>
    <row r="216" spans="1:4" ht="21.95" customHeight="1" x14ac:dyDescent="0.15">
      <c r="A216" s="263"/>
      <c r="B216" s="145" t="s">
        <v>1034</v>
      </c>
      <c r="C216" s="145" t="s">
        <v>1035</v>
      </c>
      <c r="D216" s="149" t="e">
        <f>CHITEST(実測値範囲, 期待値範囲)</f>
        <v>#NAME?</v>
      </c>
    </row>
    <row r="217" spans="1:4" ht="21.95" customHeight="1" x14ac:dyDescent="0.15">
      <c r="A217" s="263"/>
      <c r="B217" s="145" t="s">
        <v>1036</v>
      </c>
      <c r="C217" s="145" t="s">
        <v>1037</v>
      </c>
      <c r="D217" s="149" t="e">
        <f>CONFIDENCE(α, 標準偏差, 標本数)</f>
        <v>#NAME?</v>
      </c>
    </row>
    <row r="218" spans="1:4" ht="21.95" customHeight="1" x14ac:dyDescent="0.15">
      <c r="A218" s="263"/>
      <c r="B218" s="145" t="s">
        <v>176</v>
      </c>
      <c r="C218" s="145" t="s">
        <v>1038</v>
      </c>
      <c r="D218" s="149" t="e">
        <f>CORREL(配列1, 配列2)</f>
        <v>#NAME?</v>
      </c>
    </row>
    <row r="219" spans="1:4" ht="21.95" customHeight="1" x14ac:dyDescent="0.15">
      <c r="A219" s="263"/>
      <c r="B219" s="145" t="s">
        <v>1039</v>
      </c>
      <c r="C219" s="145" t="s">
        <v>1040</v>
      </c>
      <c r="D219" s="149" t="s">
        <v>1041</v>
      </c>
    </row>
    <row r="220" spans="1:4" ht="21.95" customHeight="1" x14ac:dyDescent="0.15">
      <c r="A220" s="263"/>
      <c r="B220" s="145" t="s">
        <v>1042</v>
      </c>
      <c r="C220" s="145" t="s">
        <v>1043</v>
      </c>
      <c r="D220" s="149" t="s">
        <v>1044</v>
      </c>
    </row>
    <row r="221" spans="1:4" ht="21.95" customHeight="1" x14ac:dyDescent="0.15">
      <c r="A221" s="263"/>
      <c r="B221" s="145" t="s">
        <v>243</v>
      </c>
      <c r="C221" s="145" t="s">
        <v>1045</v>
      </c>
      <c r="D221" s="149" t="e">
        <f>COVAR(配列1, 配列2)</f>
        <v>#NAME?</v>
      </c>
    </row>
    <row r="222" spans="1:4" ht="29.1" customHeight="1" x14ac:dyDescent="0.15">
      <c r="A222" s="263"/>
      <c r="B222" s="145" t="s">
        <v>1046</v>
      </c>
      <c r="C222" s="145" t="s">
        <v>1047</v>
      </c>
      <c r="D222" s="149" t="e">
        <f>CRITBINOM(試行回数, 成功率, α)</f>
        <v>#NAME?</v>
      </c>
    </row>
    <row r="223" spans="1:4" ht="21.95" customHeight="1" x14ac:dyDescent="0.15">
      <c r="A223" s="263"/>
      <c r="B223" s="145" t="s">
        <v>1048</v>
      </c>
      <c r="C223" s="145" t="s">
        <v>1049</v>
      </c>
      <c r="D223" s="149" t="s">
        <v>1050</v>
      </c>
    </row>
    <row r="224" spans="1:4" ht="21.95" customHeight="1" x14ac:dyDescent="0.15">
      <c r="A224" s="263"/>
      <c r="B224" s="145" t="s">
        <v>1051</v>
      </c>
      <c r="C224" s="145" t="s">
        <v>1052</v>
      </c>
      <c r="D224" s="149" t="e">
        <f>EXPONDIST(x, λ, 関数形式)</f>
        <v>#NAME?</v>
      </c>
    </row>
    <row r="225" spans="1:4" ht="21.95" customHeight="1" x14ac:dyDescent="0.15">
      <c r="A225" s="263"/>
      <c r="B225" s="145" t="s">
        <v>1053</v>
      </c>
      <c r="C225" s="145" t="s">
        <v>1054</v>
      </c>
      <c r="D225" s="149" t="e">
        <f>FDIST(x, 自由度1, 自由度2)</f>
        <v>#NAME?</v>
      </c>
    </row>
    <row r="226" spans="1:4" ht="21.95" customHeight="1" x14ac:dyDescent="0.15">
      <c r="A226" s="263"/>
      <c r="B226" s="145" t="s">
        <v>1055</v>
      </c>
      <c r="C226" s="145" t="s">
        <v>1056</v>
      </c>
      <c r="D226" s="149" t="e">
        <f>FINV(確率, 自由度1, 自由度2)</f>
        <v>#NAME?</v>
      </c>
    </row>
    <row r="227" spans="1:4" ht="21.95" customHeight="1" x14ac:dyDescent="0.15">
      <c r="A227" s="263"/>
      <c r="B227" s="145" t="s">
        <v>239</v>
      </c>
      <c r="C227" s="145" t="s">
        <v>1057</v>
      </c>
      <c r="D227" s="149" t="e">
        <f>FISHER(x)</f>
        <v>#NAME?</v>
      </c>
    </row>
    <row r="228" spans="1:4" ht="21.95" customHeight="1" x14ac:dyDescent="0.15">
      <c r="A228" s="263"/>
      <c r="B228" s="145" t="s">
        <v>241</v>
      </c>
      <c r="C228" s="145" t="s">
        <v>1058</v>
      </c>
      <c r="D228" s="149" t="e">
        <f>FISHERINV(y)</f>
        <v>#NAME?</v>
      </c>
    </row>
    <row r="229" spans="1:4" ht="21.95" customHeight="1" x14ac:dyDescent="0.15">
      <c r="A229" s="263"/>
      <c r="B229" s="145" t="s">
        <v>179</v>
      </c>
      <c r="C229" s="145" t="s">
        <v>1059</v>
      </c>
      <c r="D229" s="149" t="e">
        <f>FORECAST(x, 既知のy, 既知のx)</f>
        <v>#NAME?</v>
      </c>
    </row>
    <row r="230" spans="1:4" ht="21.95" customHeight="1" x14ac:dyDescent="0.15">
      <c r="A230" s="263"/>
      <c r="B230" s="145" t="s">
        <v>174</v>
      </c>
      <c r="C230" s="145" t="s">
        <v>1060</v>
      </c>
      <c r="D230" s="149" t="e">
        <f>FREQUENCY(データ配列, 区間配列)</f>
        <v>#NAME?</v>
      </c>
    </row>
    <row r="231" spans="1:4" ht="21.95" customHeight="1" x14ac:dyDescent="0.15">
      <c r="A231" s="263"/>
      <c r="B231" s="145" t="s">
        <v>1061</v>
      </c>
      <c r="C231" s="145" t="s">
        <v>1062</v>
      </c>
      <c r="D231" s="149" t="e">
        <f>FTEST(配列1, 配列2)</f>
        <v>#NAME?</v>
      </c>
    </row>
    <row r="232" spans="1:4" ht="21.95" customHeight="1" x14ac:dyDescent="0.15">
      <c r="A232" s="263"/>
      <c r="B232" s="145" t="s">
        <v>1063</v>
      </c>
      <c r="C232" s="145" t="s">
        <v>1064</v>
      </c>
      <c r="D232" s="149" t="e">
        <f>GAMMADIST(x, α, β, 関数形式)</f>
        <v>#NAME?</v>
      </c>
    </row>
    <row r="233" spans="1:4" ht="29.1" customHeight="1" x14ac:dyDescent="0.15">
      <c r="A233" s="263"/>
      <c r="B233" s="145" t="s">
        <v>1065</v>
      </c>
      <c r="C233" s="145" t="s">
        <v>1066</v>
      </c>
      <c r="D233" s="149" t="e">
        <f>GAMMAINV(確率, α, β)</f>
        <v>#NAME?</v>
      </c>
    </row>
    <row r="234" spans="1:4" ht="21.95" customHeight="1" x14ac:dyDescent="0.15">
      <c r="A234" s="263"/>
      <c r="B234" s="145" t="s">
        <v>68</v>
      </c>
      <c r="C234" s="145" t="s">
        <v>1067</v>
      </c>
      <c r="D234" s="149" t="e">
        <f>GAMMALN(x)</f>
        <v>#NAME?</v>
      </c>
    </row>
    <row r="235" spans="1:4" ht="21.95" customHeight="1" x14ac:dyDescent="0.15">
      <c r="A235" s="263"/>
      <c r="B235" s="145" t="s">
        <v>1068</v>
      </c>
      <c r="C235" s="145" t="s">
        <v>1069</v>
      </c>
      <c r="D235" s="149" t="s">
        <v>1070</v>
      </c>
    </row>
    <row r="236" spans="1:4" ht="21.95" customHeight="1" x14ac:dyDescent="0.15">
      <c r="A236" s="263"/>
      <c r="B236" s="145" t="s">
        <v>181</v>
      </c>
      <c r="C236" s="145" t="s">
        <v>1071</v>
      </c>
      <c r="D236" s="149" t="e">
        <f>GROWTH(既知のy, 既知のx, 新しいx, 定数)</f>
        <v>#NAME?</v>
      </c>
    </row>
    <row r="237" spans="1:4" ht="21.95" customHeight="1" x14ac:dyDescent="0.15">
      <c r="A237" s="263"/>
      <c r="B237" s="145" t="s">
        <v>1072</v>
      </c>
      <c r="C237" s="145" t="s">
        <v>1073</v>
      </c>
      <c r="D237" s="149" t="s">
        <v>1074</v>
      </c>
    </row>
    <row r="238" spans="1:4" ht="21.95" customHeight="1" x14ac:dyDescent="0.15">
      <c r="A238" s="263"/>
      <c r="B238" s="145" t="s">
        <v>1075</v>
      </c>
      <c r="C238" s="145" t="s">
        <v>1076</v>
      </c>
      <c r="D238" s="149" t="e">
        <f>HYPGEOMDIST(標本の成功数, 標本数, 母集団の成功数, 母集団の大きさ)</f>
        <v>#NAME?</v>
      </c>
    </row>
    <row r="239" spans="1:4" ht="21.95" customHeight="1" x14ac:dyDescent="0.15">
      <c r="A239" s="263"/>
      <c r="B239" s="145" t="s">
        <v>183</v>
      </c>
      <c r="C239" s="145" t="s">
        <v>1077</v>
      </c>
      <c r="D239" s="149" t="e">
        <f>INTERCEPT(既知のy, 既知のx)</f>
        <v>#NAME?</v>
      </c>
    </row>
    <row r="240" spans="1:4" ht="21.95" customHeight="1" x14ac:dyDescent="0.15">
      <c r="A240" s="263"/>
      <c r="B240" s="145" t="s">
        <v>1078</v>
      </c>
      <c r="C240" s="145" t="s">
        <v>1079</v>
      </c>
      <c r="D240" s="149" t="s">
        <v>1080</v>
      </c>
    </row>
    <row r="241" spans="1:4" ht="21.95" customHeight="1" x14ac:dyDescent="0.15">
      <c r="A241" s="263"/>
      <c r="B241" s="145" t="s">
        <v>1081</v>
      </c>
      <c r="C241" s="145" t="s">
        <v>1082</v>
      </c>
      <c r="D241" s="149" t="e">
        <f>LARGE(範囲, 順位)</f>
        <v>#NAME?</v>
      </c>
    </row>
    <row r="242" spans="1:4" ht="21.95" customHeight="1" x14ac:dyDescent="0.15">
      <c r="A242" s="263"/>
      <c r="B242" s="145" t="s">
        <v>172</v>
      </c>
      <c r="C242" s="145" t="s">
        <v>1083</v>
      </c>
      <c r="D242" s="149" t="e">
        <f>LINEST(既知のy, 既知のx, 定数, 補正)</f>
        <v>#NAME?</v>
      </c>
    </row>
    <row r="243" spans="1:4" ht="21.95" customHeight="1" x14ac:dyDescent="0.15">
      <c r="A243" s="263"/>
      <c r="B243" s="145" t="s">
        <v>170</v>
      </c>
      <c r="C243" s="145" t="s">
        <v>1084</v>
      </c>
      <c r="D243" s="149" t="e">
        <f>LOGEST(既知のy, 既知のx, 定数, 補正)</f>
        <v>#NAME?</v>
      </c>
    </row>
    <row r="244" spans="1:4" ht="21.95" customHeight="1" x14ac:dyDescent="0.15">
      <c r="A244" s="263"/>
      <c r="B244" s="145" t="s">
        <v>1085</v>
      </c>
      <c r="C244" s="145" t="s">
        <v>1086</v>
      </c>
      <c r="D244" s="149" t="e">
        <f>LOGINV(確率, 平均, 標準偏差)</f>
        <v>#NAME?</v>
      </c>
    </row>
    <row r="245" spans="1:4" ht="21.95" customHeight="1" x14ac:dyDescent="0.15">
      <c r="A245" s="263"/>
      <c r="B245" s="145" t="s">
        <v>1087</v>
      </c>
      <c r="C245" s="145" t="s">
        <v>1088</v>
      </c>
      <c r="D245" s="149" t="e">
        <f>LOGNORMDIST(x, 平均, 標準偏差)</f>
        <v>#NAME?</v>
      </c>
    </row>
    <row r="246" spans="1:4" ht="21.95" customHeight="1" x14ac:dyDescent="0.15">
      <c r="A246" s="263"/>
      <c r="B246" s="145" t="s">
        <v>81</v>
      </c>
      <c r="C246" s="145" t="s">
        <v>1089</v>
      </c>
      <c r="D246" s="149" t="s">
        <v>1090</v>
      </c>
    </row>
    <row r="247" spans="1:4" ht="21.95" customHeight="1" x14ac:dyDescent="0.15">
      <c r="A247" s="263"/>
      <c r="B247" s="145" t="s">
        <v>83</v>
      </c>
      <c r="C247" s="145" t="s">
        <v>1091</v>
      </c>
      <c r="D247" s="149" t="s">
        <v>1092</v>
      </c>
    </row>
    <row r="248" spans="1:4" ht="21.95" customHeight="1" x14ac:dyDescent="0.15">
      <c r="A248" s="263"/>
      <c r="B248" s="145" t="s">
        <v>1093</v>
      </c>
      <c r="C248" s="145" t="s">
        <v>1094</v>
      </c>
      <c r="D248" s="149" t="s">
        <v>1095</v>
      </c>
    </row>
    <row r="249" spans="1:4" ht="21.95" customHeight="1" x14ac:dyDescent="0.15">
      <c r="A249" s="263"/>
      <c r="B249" s="145" t="s">
        <v>77</v>
      </c>
      <c r="C249" s="145" t="s">
        <v>1096</v>
      </c>
      <c r="D249" s="149" t="s">
        <v>1097</v>
      </c>
    </row>
    <row r="250" spans="1:4" ht="21.95" customHeight="1" x14ac:dyDescent="0.15">
      <c r="A250" s="263"/>
      <c r="B250" s="145" t="s">
        <v>79</v>
      </c>
      <c r="C250" s="145" t="s">
        <v>1098</v>
      </c>
      <c r="D250" s="149" t="s">
        <v>1099</v>
      </c>
    </row>
    <row r="251" spans="1:4" ht="21.95" customHeight="1" x14ac:dyDescent="0.15">
      <c r="A251" s="263"/>
      <c r="B251" s="145" t="s">
        <v>1100</v>
      </c>
      <c r="C251" s="145" t="s">
        <v>1101</v>
      </c>
      <c r="D251" s="149" t="s">
        <v>1102</v>
      </c>
    </row>
    <row r="252" spans="1:4" ht="21.95" customHeight="1" x14ac:dyDescent="0.15">
      <c r="A252" s="263"/>
      <c r="B252" s="145" t="s">
        <v>1103</v>
      </c>
      <c r="C252" s="145" t="s">
        <v>1104</v>
      </c>
      <c r="D252" s="149" t="e">
        <f>NEGBINOMDIST(失敗数, 成功数, 成功率)</f>
        <v>#NAME?</v>
      </c>
    </row>
    <row r="253" spans="1:4" ht="21.95" customHeight="1" x14ac:dyDescent="0.15">
      <c r="A253" s="263"/>
      <c r="B253" s="145" t="s">
        <v>1105</v>
      </c>
      <c r="C253" s="145" t="s">
        <v>1106</v>
      </c>
      <c r="D253" s="149" t="e">
        <f>NORMSDIST(z)</f>
        <v>#NAME?</v>
      </c>
    </row>
    <row r="254" spans="1:4" ht="21.95" customHeight="1" x14ac:dyDescent="0.15">
      <c r="A254" s="263"/>
      <c r="B254" s="145" t="s">
        <v>1107</v>
      </c>
      <c r="C254" s="145" t="s">
        <v>1108</v>
      </c>
      <c r="D254" s="149" t="e">
        <f>NORMSINV(確率)</f>
        <v>#NAME?</v>
      </c>
    </row>
    <row r="255" spans="1:4" ht="21.95" customHeight="1" x14ac:dyDescent="0.15">
      <c r="A255" s="263"/>
      <c r="B255" s="145" t="s">
        <v>1109</v>
      </c>
      <c r="C255" s="145" t="s">
        <v>1110</v>
      </c>
      <c r="D255" s="149" t="e">
        <f>NORMSDIST(z)</f>
        <v>#NAME?</v>
      </c>
    </row>
    <row r="256" spans="1:4" ht="21.95" customHeight="1" x14ac:dyDescent="0.15">
      <c r="A256" s="263"/>
      <c r="B256" s="145" t="s">
        <v>1111</v>
      </c>
      <c r="C256" s="145" t="s">
        <v>1112</v>
      </c>
      <c r="D256" s="149" t="e">
        <f>NORMSINV(確率)</f>
        <v>#NAME?</v>
      </c>
    </row>
    <row r="257" spans="1:4" ht="21.95" customHeight="1" x14ac:dyDescent="0.15">
      <c r="A257" s="263"/>
      <c r="B257" s="145" t="s">
        <v>185</v>
      </c>
      <c r="C257" s="145" t="s">
        <v>1113</v>
      </c>
      <c r="D257" s="149" t="e">
        <f>PEARSON(配列1, 配列2)</f>
        <v>#NAME?</v>
      </c>
    </row>
    <row r="258" spans="1:4" ht="21.95" customHeight="1" x14ac:dyDescent="0.15">
      <c r="A258" s="263"/>
      <c r="B258" s="145" t="s">
        <v>159</v>
      </c>
      <c r="C258" s="145" t="s">
        <v>1114</v>
      </c>
      <c r="D258" s="149" t="e">
        <f>PERCENTILE(配列, 率)</f>
        <v>#NAME?</v>
      </c>
    </row>
    <row r="259" spans="1:4" ht="21.95" customHeight="1" x14ac:dyDescent="0.15">
      <c r="A259" s="263"/>
      <c r="B259" s="145" t="s">
        <v>154</v>
      </c>
      <c r="C259" s="145" t="s">
        <v>1115</v>
      </c>
      <c r="D259" s="149" t="e">
        <f>PERCENTRANK(配列, x, 有効桁数)</f>
        <v>#NAME?</v>
      </c>
    </row>
    <row r="260" spans="1:4" ht="21.95" customHeight="1" x14ac:dyDescent="0.15">
      <c r="A260" s="263"/>
      <c r="B260" s="145" t="s">
        <v>1116</v>
      </c>
      <c r="C260" s="145" t="s">
        <v>1117</v>
      </c>
      <c r="D260" s="149" t="e">
        <f>PERMUT(標本数, 抜き取り数)</f>
        <v>#NAME?</v>
      </c>
    </row>
    <row r="261" spans="1:4" ht="21.95" customHeight="1" x14ac:dyDescent="0.15">
      <c r="A261" s="263"/>
      <c r="B261" s="145" t="s">
        <v>1118</v>
      </c>
      <c r="C261" s="145" t="s">
        <v>1119</v>
      </c>
      <c r="D261" s="149" t="e">
        <f>POISSON(イベント数, 平均, 関数形式)</f>
        <v>#NAME?</v>
      </c>
    </row>
    <row r="262" spans="1:4" ht="21.95" customHeight="1" x14ac:dyDescent="0.15">
      <c r="A262" s="263"/>
      <c r="B262" s="145" t="s">
        <v>1120</v>
      </c>
      <c r="C262" s="145" t="s">
        <v>1121</v>
      </c>
      <c r="D262" s="149" t="e">
        <f>PROB(x範囲, 確率範囲, 下限, 上限)</f>
        <v>#NAME?</v>
      </c>
    </row>
    <row r="263" spans="1:4" ht="60" customHeight="1" x14ac:dyDescent="0.15">
      <c r="A263" s="263"/>
      <c r="B263" s="145" t="s">
        <v>143</v>
      </c>
      <c r="C263" s="145" t="s">
        <v>1122</v>
      </c>
      <c r="D263" s="149" t="e">
        <f>QUARTILE(配列, 戻り値)</f>
        <v>#NAME?</v>
      </c>
    </row>
    <row r="264" spans="1:4" ht="21.95" customHeight="1" x14ac:dyDescent="0.15">
      <c r="A264" s="263"/>
      <c r="B264" s="145" t="s">
        <v>1123</v>
      </c>
      <c r="C264" s="145" t="s">
        <v>1124</v>
      </c>
      <c r="D264" s="149" t="e">
        <f>RANK(数値, 範囲, 順序)</f>
        <v>#NAME?</v>
      </c>
    </row>
    <row r="265" spans="1:4" ht="21.95" customHeight="1" x14ac:dyDescent="0.15">
      <c r="A265" s="263"/>
      <c r="B265" s="145" t="s">
        <v>187</v>
      </c>
      <c r="C265" s="145" t="s">
        <v>1125</v>
      </c>
      <c r="D265" s="149" t="e">
        <f>RSQ(既知のy, 既知のx)</f>
        <v>#NAME?</v>
      </c>
    </row>
    <row r="266" spans="1:4" ht="21.95" customHeight="1" x14ac:dyDescent="0.15">
      <c r="A266" s="263"/>
      <c r="B266" s="145" t="s">
        <v>1126</v>
      </c>
      <c r="C266" s="145" t="s">
        <v>1127</v>
      </c>
      <c r="D266" s="149" t="s">
        <v>1128</v>
      </c>
    </row>
    <row r="267" spans="1:4" ht="21.95" customHeight="1" x14ac:dyDescent="0.15">
      <c r="A267" s="263"/>
      <c r="B267" s="145" t="s">
        <v>189</v>
      </c>
      <c r="C267" s="145" t="s">
        <v>1129</v>
      </c>
      <c r="D267" s="149" t="e">
        <f>SLOPE(既知のy, 既知のx)</f>
        <v>#NAME?</v>
      </c>
    </row>
    <row r="268" spans="1:4" ht="21.95" customHeight="1" x14ac:dyDescent="0.15">
      <c r="A268" s="263"/>
      <c r="B268" s="145" t="s">
        <v>1130</v>
      </c>
      <c r="C268" s="145" t="s">
        <v>1131</v>
      </c>
      <c r="D268" s="149" t="e">
        <f>SMALL(範囲, 順位)</f>
        <v>#NAME?</v>
      </c>
    </row>
    <row r="269" spans="1:4" ht="21.95" customHeight="1" x14ac:dyDescent="0.15">
      <c r="A269" s="263"/>
      <c r="B269" s="145" t="s">
        <v>1132</v>
      </c>
      <c r="C269" s="145" t="s">
        <v>1133</v>
      </c>
      <c r="D269" s="149" t="e">
        <f>STANDARDIZE(x, 平均, 標準偏差)</f>
        <v>#NAME?</v>
      </c>
    </row>
    <row r="270" spans="1:4" ht="21.95" customHeight="1" x14ac:dyDescent="0.15">
      <c r="A270" s="263"/>
      <c r="B270" s="145" t="s">
        <v>1134</v>
      </c>
      <c r="C270" s="145" t="s">
        <v>1135</v>
      </c>
      <c r="D270" s="149" t="s">
        <v>1136</v>
      </c>
    </row>
    <row r="271" spans="1:4" ht="21.95" customHeight="1" x14ac:dyDescent="0.15">
      <c r="A271" s="263"/>
      <c r="B271" s="145" t="s">
        <v>1137</v>
      </c>
      <c r="C271" s="145" t="s">
        <v>1138</v>
      </c>
      <c r="D271" s="149" t="s">
        <v>1139</v>
      </c>
    </row>
    <row r="272" spans="1:4" ht="21.95" customHeight="1" x14ac:dyDescent="0.15">
      <c r="A272" s="263"/>
      <c r="B272" s="145" t="s">
        <v>1140</v>
      </c>
      <c r="C272" s="145" t="s">
        <v>1141</v>
      </c>
      <c r="D272" s="149" t="s">
        <v>1142</v>
      </c>
    </row>
    <row r="273" spans="1:4" ht="21.95" customHeight="1" x14ac:dyDescent="0.15">
      <c r="A273" s="263"/>
      <c r="B273" s="145" t="s">
        <v>1143</v>
      </c>
      <c r="C273" s="145" t="s">
        <v>1144</v>
      </c>
      <c r="D273" s="149" t="s">
        <v>1145</v>
      </c>
    </row>
    <row r="274" spans="1:4" ht="21.95" customHeight="1" x14ac:dyDescent="0.15">
      <c r="A274" s="263"/>
      <c r="B274" s="145" t="s">
        <v>191</v>
      </c>
      <c r="C274" s="145" t="s">
        <v>1146</v>
      </c>
      <c r="D274" s="149" t="e">
        <f>STEYX(既知のy, 既知のx)</f>
        <v>#NAME?</v>
      </c>
    </row>
    <row r="275" spans="1:4" ht="21.95" customHeight="1" x14ac:dyDescent="0.15">
      <c r="A275" s="263"/>
      <c r="B275" s="145" t="s">
        <v>1147</v>
      </c>
      <c r="C275" s="145" t="s">
        <v>1148</v>
      </c>
      <c r="D275" s="149" t="e">
        <f>TDIST(x, 自由度, 尾部)</f>
        <v>#NAME?</v>
      </c>
    </row>
    <row r="276" spans="1:4" ht="21.95" customHeight="1" x14ac:dyDescent="0.15">
      <c r="A276" s="263"/>
      <c r="B276" s="145" t="s">
        <v>1149</v>
      </c>
      <c r="C276" s="145" t="s">
        <v>1150</v>
      </c>
      <c r="D276" s="149" t="e">
        <f>TINV(確率, 自由度)</f>
        <v>#NAME?</v>
      </c>
    </row>
    <row r="277" spans="1:4" ht="21.95" customHeight="1" x14ac:dyDescent="0.15">
      <c r="A277" s="263"/>
      <c r="B277" s="145" t="s">
        <v>141</v>
      </c>
      <c r="C277" s="145" t="s">
        <v>1151</v>
      </c>
      <c r="D277" s="149" t="e">
        <f>TREND(既知のy, 既知のx, 新しいx, 定数)</f>
        <v>#NAME?</v>
      </c>
    </row>
    <row r="278" spans="1:4" ht="21.95" customHeight="1" x14ac:dyDescent="0.15">
      <c r="A278" s="263"/>
      <c r="B278" s="145" t="s">
        <v>1152</v>
      </c>
      <c r="C278" s="145" t="s">
        <v>1153</v>
      </c>
      <c r="D278" s="149" t="e">
        <f>TRIMMEAN(配列, 割合)</f>
        <v>#NAME?</v>
      </c>
    </row>
    <row r="279" spans="1:4" ht="21.95" customHeight="1" x14ac:dyDescent="0.15">
      <c r="A279" s="263"/>
      <c r="B279" s="145" t="s">
        <v>1154</v>
      </c>
      <c r="C279" s="145" t="s">
        <v>1155</v>
      </c>
      <c r="D279" s="149" t="e">
        <f>TTEST(配列1, 配列2, 尾部, 検定の種類)</f>
        <v>#NAME?</v>
      </c>
    </row>
    <row r="280" spans="1:4" ht="21.95" customHeight="1" x14ac:dyDescent="0.15">
      <c r="A280" s="263"/>
      <c r="B280" s="145" t="s">
        <v>1156</v>
      </c>
      <c r="C280" s="145" t="s">
        <v>1157</v>
      </c>
      <c r="D280" s="149" t="s">
        <v>1158</v>
      </c>
    </row>
    <row r="281" spans="1:4" ht="21.95" customHeight="1" x14ac:dyDescent="0.15">
      <c r="A281" s="263"/>
      <c r="B281" s="145" t="s">
        <v>1159</v>
      </c>
      <c r="C281" s="145" t="s">
        <v>1160</v>
      </c>
      <c r="D281" s="149" t="s">
        <v>1161</v>
      </c>
    </row>
    <row r="282" spans="1:4" ht="21.95" customHeight="1" x14ac:dyDescent="0.15">
      <c r="A282" s="263"/>
      <c r="B282" s="145" t="s">
        <v>1162</v>
      </c>
      <c r="C282" s="145" t="s">
        <v>1163</v>
      </c>
      <c r="D282" s="149" t="s">
        <v>1164</v>
      </c>
    </row>
    <row r="283" spans="1:4" ht="21.95" customHeight="1" x14ac:dyDescent="0.15">
      <c r="A283" s="263"/>
      <c r="B283" s="145" t="s">
        <v>1165</v>
      </c>
      <c r="C283" s="145" t="s">
        <v>1166</v>
      </c>
      <c r="D283" s="149" t="s">
        <v>1164</v>
      </c>
    </row>
    <row r="284" spans="1:4" ht="21.95" customHeight="1" x14ac:dyDescent="0.15">
      <c r="A284" s="263"/>
      <c r="B284" s="145" t="s">
        <v>1167</v>
      </c>
      <c r="C284" s="145" t="s">
        <v>1168</v>
      </c>
      <c r="D284" s="149" t="e">
        <f>WEIBULL(x, α, β, 関数形式)</f>
        <v>#NAME?</v>
      </c>
    </row>
    <row r="285" spans="1:4" ht="21.95" customHeight="1" x14ac:dyDescent="0.15">
      <c r="A285" s="264"/>
      <c r="B285" s="145" t="s">
        <v>1169</v>
      </c>
      <c r="C285" s="145" t="s">
        <v>1170</v>
      </c>
      <c r="D285" s="149" t="e">
        <f>ZTEST(配列, x, σ)</f>
        <v>#NAME?</v>
      </c>
    </row>
    <row r="286" spans="1:4" ht="21.95" customHeight="1" x14ac:dyDescent="0.15">
      <c r="A286" s="145"/>
      <c r="B286" s="146" t="s">
        <v>1171</v>
      </c>
      <c r="C286" s="146" t="s">
        <v>660</v>
      </c>
      <c r="D286" s="150" t="s">
        <v>661</v>
      </c>
    </row>
    <row r="287" spans="1:4" ht="21.95" customHeight="1" x14ac:dyDescent="0.15">
      <c r="A287" s="265" t="s">
        <v>1171</v>
      </c>
      <c r="B287" s="145" t="s">
        <v>1172</v>
      </c>
      <c r="C287" s="145" t="s">
        <v>1173</v>
      </c>
      <c r="D287" s="149" t="e">
        <f>DATE(年, 月, 日)</f>
        <v>#NAME?</v>
      </c>
    </row>
    <row r="288" spans="1:4" ht="21.95" customHeight="1" x14ac:dyDescent="0.15">
      <c r="A288" s="266"/>
      <c r="B288" s="145" t="s">
        <v>1174</v>
      </c>
      <c r="C288" s="145" t="s">
        <v>1175</v>
      </c>
      <c r="D288" s="149" t="e">
        <f>DATEDIF(開始日, 終了日, 単位)</f>
        <v>#NAME?</v>
      </c>
    </row>
    <row r="289" spans="1:4" ht="21.95" customHeight="1" x14ac:dyDescent="0.15">
      <c r="A289" s="266"/>
      <c r="B289" s="145" t="s">
        <v>1176</v>
      </c>
      <c r="C289" s="145" t="s">
        <v>1177</v>
      </c>
      <c r="D289" s="149" t="e">
        <f>DATEVALUE(日付文字列)</f>
        <v>#NAME?</v>
      </c>
    </row>
    <row r="290" spans="1:4" ht="21.95" customHeight="1" x14ac:dyDescent="0.15">
      <c r="A290" s="266"/>
      <c r="B290" s="145" t="s">
        <v>1178</v>
      </c>
      <c r="C290" s="145" t="s">
        <v>1179</v>
      </c>
      <c r="D290" s="149" t="e">
        <f>DAY(シリアル値)</f>
        <v>#NAME?</v>
      </c>
    </row>
    <row r="291" spans="1:4" ht="21.95" customHeight="1" x14ac:dyDescent="0.15">
      <c r="A291" s="266"/>
      <c r="B291" s="145" t="s">
        <v>1180</v>
      </c>
      <c r="C291" s="145" t="s">
        <v>1181</v>
      </c>
      <c r="D291" s="149" t="e">
        <f>DAYS360(開始日,終了日, 方式)</f>
        <v>#NAME?</v>
      </c>
    </row>
    <row r="292" spans="1:4" ht="21.95" customHeight="1" x14ac:dyDescent="0.15">
      <c r="A292" s="266"/>
      <c r="B292" s="145" t="s">
        <v>1182</v>
      </c>
      <c r="C292" s="145" t="s">
        <v>1183</v>
      </c>
      <c r="D292" s="149" t="e">
        <f>EDATE(開始日, 月)</f>
        <v>#NAME?</v>
      </c>
    </row>
    <row r="293" spans="1:4" ht="29.1" customHeight="1" x14ac:dyDescent="0.15">
      <c r="A293" s="266"/>
      <c r="B293" s="145" t="s">
        <v>1184</v>
      </c>
      <c r="C293" s="145" t="s">
        <v>1185</v>
      </c>
      <c r="D293" s="149" t="e">
        <f>EOMONTH(開始日, 月)</f>
        <v>#NAME?</v>
      </c>
    </row>
    <row r="294" spans="1:4" ht="21.95" customHeight="1" x14ac:dyDescent="0.15">
      <c r="A294" s="266"/>
      <c r="B294" s="145" t="s">
        <v>1186</v>
      </c>
      <c r="C294" s="145" t="s">
        <v>1187</v>
      </c>
      <c r="D294" s="149" t="e">
        <f>HOUR(シリアル値)</f>
        <v>#NAME?</v>
      </c>
    </row>
    <row r="295" spans="1:4" ht="21.95" customHeight="1" x14ac:dyDescent="0.15">
      <c r="A295" s="266"/>
      <c r="B295" s="145" t="s">
        <v>1188</v>
      </c>
      <c r="C295" s="145" t="s">
        <v>1189</v>
      </c>
      <c r="D295" s="149" t="e">
        <f>MINUTE(シリアル値)</f>
        <v>#NAME?</v>
      </c>
    </row>
    <row r="296" spans="1:4" ht="21.95" customHeight="1" x14ac:dyDescent="0.15">
      <c r="A296" s="266"/>
      <c r="B296" s="145" t="s">
        <v>1190</v>
      </c>
      <c r="C296" s="145" t="s">
        <v>1191</v>
      </c>
      <c r="D296" s="149" t="e">
        <f>MONTH(シリアル値)</f>
        <v>#NAME?</v>
      </c>
    </row>
    <row r="297" spans="1:4" ht="21.95" customHeight="1" x14ac:dyDescent="0.15">
      <c r="A297" s="266"/>
      <c r="B297" s="145" t="s">
        <v>1192</v>
      </c>
      <c r="C297" s="145" t="s">
        <v>1193</v>
      </c>
      <c r="D297" s="149" t="e">
        <f>NETWORKDAYS(開始日, 終了日, 祭日)</f>
        <v>#NAME?</v>
      </c>
    </row>
    <row r="298" spans="1:4" ht="21.95" customHeight="1" x14ac:dyDescent="0.15">
      <c r="A298" s="266"/>
      <c r="B298" s="145" t="s">
        <v>1194</v>
      </c>
      <c r="C298" s="145" t="s">
        <v>1195</v>
      </c>
      <c r="D298" s="149">
        <f ca="1">NOW()</f>
        <v>44417.669977314814</v>
      </c>
    </row>
    <row r="299" spans="1:4" ht="21.95" customHeight="1" x14ac:dyDescent="0.15">
      <c r="A299" s="266"/>
      <c r="B299" s="145" t="s">
        <v>1196</v>
      </c>
      <c r="C299" s="145" t="s">
        <v>1197</v>
      </c>
      <c r="D299" s="149" t="e">
        <f>SECOND(シリアル値)</f>
        <v>#NAME?</v>
      </c>
    </row>
    <row r="300" spans="1:4" ht="21.95" customHeight="1" x14ac:dyDescent="0.15">
      <c r="A300" s="266"/>
      <c r="B300" s="145" t="s">
        <v>1198</v>
      </c>
      <c r="C300" s="145" t="s">
        <v>1199</v>
      </c>
      <c r="D300" s="149" t="e">
        <f>TIME(時, 分, 秒)</f>
        <v>#NAME?</v>
      </c>
    </row>
    <row r="301" spans="1:4" ht="21.95" customHeight="1" x14ac:dyDescent="0.15">
      <c r="A301" s="266"/>
      <c r="B301" s="145" t="s">
        <v>1200</v>
      </c>
      <c r="C301" s="145" t="s">
        <v>1201</v>
      </c>
      <c r="D301" s="149" t="e">
        <f>TIMEVALUE(時刻文字列)</f>
        <v>#NAME?</v>
      </c>
    </row>
    <row r="302" spans="1:4" ht="21.95" customHeight="1" x14ac:dyDescent="0.15">
      <c r="A302" s="266"/>
      <c r="B302" s="145" t="s">
        <v>1202</v>
      </c>
      <c r="C302" s="145" t="s">
        <v>1203</v>
      </c>
      <c r="D302" s="149">
        <f ca="1">TODAY()</f>
        <v>44417</v>
      </c>
    </row>
    <row r="303" spans="1:4" ht="21.95" customHeight="1" x14ac:dyDescent="0.15">
      <c r="A303" s="266"/>
      <c r="B303" s="145" t="s">
        <v>1204</v>
      </c>
      <c r="C303" s="145" t="s">
        <v>1205</v>
      </c>
      <c r="D303" s="149" t="e">
        <f>WEEKDAY(シリアル値, 種類)</f>
        <v>#NAME?</v>
      </c>
    </row>
    <row r="304" spans="1:4" ht="21.95" customHeight="1" x14ac:dyDescent="0.15">
      <c r="A304" s="266"/>
      <c r="B304" s="145" t="s">
        <v>1206</v>
      </c>
      <c r="C304" s="145" t="s">
        <v>1207</v>
      </c>
      <c r="D304" s="149" t="e">
        <f>WEEKNUM(シリアル値, 週の基準)</f>
        <v>#NAME?</v>
      </c>
    </row>
    <row r="305" spans="1:4" ht="21.95" customHeight="1" x14ac:dyDescent="0.15">
      <c r="A305" s="266"/>
      <c r="B305" s="145" t="s">
        <v>1208</v>
      </c>
      <c r="C305" s="145" t="s">
        <v>1209</v>
      </c>
      <c r="D305" s="149" t="e">
        <f>WORKDAY(開始日, 日数, 祭日)</f>
        <v>#NAME?</v>
      </c>
    </row>
    <row r="306" spans="1:4" ht="21.95" customHeight="1" x14ac:dyDescent="0.15">
      <c r="A306" s="266"/>
      <c r="B306" s="145" t="s">
        <v>1210</v>
      </c>
      <c r="C306" s="145" t="s">
        <v>1211</v>
      </c>
      <c r="D306" s="149" t="e">
        <f>YEAR(シリアル値)</f>
        <v>#NAME?</v>
      </c>
    </row>
    <row r="307" spans="1:4" ht="21.95" customHeight="1" x14ac:dyDescent="0.15">
      <c r="A307" s="267"/>
      <c r="B307" s="145" t="s">
        <v>1212</v>
      </c>
      <c r="C307" s="145" t="s">
        <v>1213</v>
      </c>
      <c r="D307" s="149" t="e">
        <f>YEARFRAC(開始日, 終了日, 基準)</f>
        <v>#NAME?</v>
      </c>
    </row>
    <row r="308" spans="1:4" ht="21.95" customHeight="1" x14ac:dyDescent="0.15">
      <c r="A308" s="145"/>
      <c r="B308" s="146" t="s">
        <v>1214</v>
      </c>
      <c r="C308" s="146" t="s">
        <v>660</v>
      </c>
      <c r="D308" s="150" t="s">
        <v>661</v>
      </c>
    </row>
    <row r="309" spans="1:4" ht="21.95" customHeight="1" x14ac:dyDescent="0.15">
      <c r="A309" s="268" t="s">
        <v>1214</v>
      </c>
      <c r="B309" s="145" t="s">
        <v>1215</v>
      </c>
      <c r="C309" s="145" t="s">
        <v>1216</v>
      </c>
      <c r="D309" s="149" t="e">
        <f>ASC(文字列)</f>
        <v>#NAME?</v>
      </c>
    </row>
    <row r="310" spans="1:4" ht="21.95" customHeight="1" x14ac:dyDescent="0.15">
      <c r="A310" s="269"/>
      <c r="B310" s="145" t="s">
        <v>1217</v>
      </c>
      <c r="C310" s="145" t="s">
        <v>1218</v>
      </c>
      <c r="D310" s="149" t="e">
        <f>CHAR(数値)</f>
        <v>#NAME?</v>
      </c>
    </row>
    <row r="311" spans="1:4" ht="21.95" customHeight="1" x14ac:dyDescent="0.15">
      <c r="A311" s="269"/>
      <c r="B311" s="145" t="s">
        <v>1219</v>
      </c>
      <c r="C311" s="145" t="s">
        <v>1220</v>
      </c>
      <c r="D311" s="149" t="e">
        <f>CLEAN(文字列)</f>
        <v>#NAME?</v>
      </c>
    </row>
    <row r="312" spans="1:4" ht="21.95" customHeight="1" x14ac:dyDescent="0.15">
      <c r="A312" s="269"/>
      <c r="B312" s="145" t="s">
        <v>1221</v>
      </c>
      <c r="C312" s="145" t="s">
        <v>1222</v>
      </c>
      <c r="D312" s="149" t="e">
        <f>CODE(文字列)</f>
        <v>#NAME?</v>
      </c>
    </row>
    <row r="313" spans="1:4" ht="21.95" customHeight="1" x14ac:dyDescent="0.15">
      <c r="A313" s="269"/>
      <c r="B313" s="145" t="s">
        <v>1223</v>
      </c>
      <c r="C313" s="145" t="s">
        <v>1224</v>
      </c>
      <c r="D313" s="149" t="s">
        <v>1225</v>
      </c>
    </row>
    <row r="314" spans="1:4" ht="21.95" customHeight="1" x14ac:dyDescent="0.15">
      <c r="A314" s="269"/>
      <c r="B314" s="145" t="s">
        <v>1226</v>
      </c>
      <c r="C314" s="145" t="s">
        <v>1227</v>
      </c>
      <c r="D314" s="149" t="e">
        <f>USDOLLAR(数値, 桁数)</f>
        <v>#NAME?</v>
      </c>
    </row>
    <row r="315" spans="1:4" ht="21.95" customHeight="1" x14ac:dyDescent="0.15">
      <c r="A315" s="269"/>
      <c r="B315" s="145" t="s">
        <v>1228</v>
      </c>
      <c r="C315" s="145" t="s">
        <v>1229</v>
      </c>
      <c r="D315" s="149" t="e">
        <f>EXACT(文字列1, 文字列2)</f>
        <v>#NAME?</v>
      </c>
    </row>
    <row r="316" spans="1:4" ht="29.1" customHeight="1" x14ac:dyDescent="0.15">
      <c r="A316" s="269"/>
      <c r="B316" s="145" t="s">
        <v>1230</v>
      </c>
      <c r="C316" s="145" t="s">
        <v>1231</v>
      </c>
      <c r="D316" s="149" t="e">
        <f>FIND(検索文字列, 対象, 開始位置)</f>
        <v>#NAME?</v>
      </c>
    </row>
    <row r="317" spans="1:4" ht="29.1" customHeight="1" x14ac:dyDescent="0.15">
      <c r="A317" s="269"/>
      <c r="B317" s="145" t="s">
        <v>1232</v>
      </c>
      <c r="C317" s="145" t="s">
        <v>1233</v>
      </c>
      <c r="D317" s="149" t="e">
        <f>FIXED(数値, 桁数, 桁区切り)</f>
        <v>#NAME?</v>
      </c>
    </row>
    <row r="318" spans="1:4" ht="21.95" customHeight="1" x14ac:dyDescent="0.15">
      <c r="A318" s="269"/>
      <c r="B318" s="145" t="s">
        <v>1234</v>
      </c>
      <c r="C318" s="145" t="s">
        <v>1235</v>
      </c>
      <c r="D318" s="149" t="e">
        <f>DBCS(文字列)</f>
        <v>#NAME?</v>
      </c>
    </row>
    <row r="319" spans="1:4" ht="21.95" customHeight="1" x14ac:dyDescent="0.15">
      <c r="A319" s="269"/>
      <c r="B319" s="145" t="s">
        <v>1236</v>
      </c>
      <c r="C319" s="145" t="s">
        <v>1237</v>
      </c>
      <c r="D319" s="149" t="s">
        <v>1238</v>
      </c>
    </row>
    <row r="320" spans="1:4" ht="21.95" customHeight="1" x14ac:dyDescent="0.15">
      <c r="A320" s="269"/>
      <c r="B320" s="145" t="s">
        <v>1239</v>
      </c>
      <c r="C320" s="145" t="s">
        <v>1240</v>
      </c>
      <c r="D320" s="149" t="s">
        <v>1241</v>
      </c>
    </row>
    <row r="321" spans="1:4" ht="21.95" customHeight="1" x14ac:dyDescent="0.15">
      <c r="A321" s="269"/>
      <c r="B321" s="145" t="s">
        <v>1242</v>
      </c>
      <c r="C321" s="145" t="s">
        <v>1243</v>
      </c>
      <c r="D321" s="149" t="e">
        <f>LOWER(文字列)</f>
        <v>#NAME?</v>
      </c>
    </row>
    <row r="322" spans="1:4" ht="21.95" customHeight="1" x14ac:dyDescent="0.15">
      <c r="A322" s="269"/>
      <c r="B322" s="145" t="s">
        <v>1244</v>
      </c>
      <c r="C322" s="145" t="s">
        <v>1245</v>
      </c>
      <c r="D322" s="149" t="s">
        <v>1246</v>
      </c>
    </row>
    <row r="323" spans="1:4" ht="29.1" customHeight="1" x14ac:dyDescent="0.15">
      <c r="A323" s="269"/>
      <c r="B323" s="145" t="s">
        <v>1247</v>
      </c>
      <c r="C323" s="145" t="s">
        <v>1248</v>
      </c>
      <c r="D323" s="149" t="e">
        <f>PROPER(文字列)</f>
        <v>#NAME?</v>
      </c>
    </row>
    <row r="324" spans="1:4" ht="21.95" customHeight="1" x14ac:dyDescent="0.15">
      <c r="A324" s="269"/>
      <c r="B324" s="145" t="s">
        <v>1249</v>
      </c>
      <c r="C324" s="145" t="s">
        <v>1250</v>
      </c>
      <c r="D324" s="149" t="s">
        <v>1251</v>
      </c>
    </row>
    <row r="325" spans="1:4" ht="21.95" customHeight="1" x14ac:dyDescent="0.15">
      <c r="A325" s="269"/>
      <c r="B325" s="145" t="s">
        <v>1252</v>
      </c>
      <c r="C325" s="145" t="s">
        <v>1253</v>
      </c>
      <c r="D325" s="149" t="e">
        <f>REPT(文字列, 繰り返し回数)</f>
        <v>#NAME?</v>
      </c>
    </row>
    <row r="326" spans="1:4" ht="21.95" customHeight="1" x14ac:dyDescent="0.15">
      <c r="A326" s="269"/>
      <c r="B326" s="145" t="s">
        <v>1254</v>
      </c>
      <c r="C326" s="145" t="s">
        <v>1255</v>
      </c>
      <c r="D326" s="149" t="s">
        <v>1256</v>
      </c>
    </row>
    <row r="327" spans="1:4" ht="29.1" customHeight="1" x14ac:dyDescent="0.15">
      <c r="A327" s="269"/>
      <c r="B327" s="145" t="s">
        <v>1257</v>
      </c>
      <c r="C327" s="145" t="s">
        <v>1258</v>
      </c>
      <c r="D327" s="149" t="s">
        <v>1259</v>
      </c>
    </row>
    <row r="328" spans="1:4" ht="21.95" customHeight="1" x14ac:dyDescent="0.15">
      <c r="A328" s="269"/>
      <c r="B328" s="145" t="s">
        <v>1260</v>
      </c>
      <c r="C328" s="145" t="s">
        <v>1261</v>
      </c>
      <c r="D328" s="149" t="e">
        <f>SUBSTITUTE(文字列, 検索文字列, 置換文字列, 置換対象)</f>
        <v>#NAME?</v>
      </c>
    </row>
    <row r="329" spans="1:4" ht="21.95" customHeight="1" x14ac:dyDescent="0.15">
      <c r="A329" s="269"/>
      <c r="B329" s="145" t="s">
        <v>1262</v>
      </c>
      <c r="C329" s="145" t="s">
        <v>1263</v>
      </c>
      <c r="D329" s="149" t="e">
        <f>T(値)</f>
        <v>#NAME?</v>
      </c>
    </row>
    <row r="330" spans="1:4" ht="21.95" customHeight="1" x14ac:dyDescent="0.15">
      <c r="A330" s="269"/>
      <c r="B330" s="145" t="s">
        <v>1264</v>
      </c>
      <c r="C330" s="145" t="s">
        <v>1265</v>
      </c>
      <c r="D330" s="149" t="e">
        <f>TEXT(値, 表示形式)</f>
        <v>#NAME?</v>
      </c>
    </row>
    <row r="331" spans="1:4" ht="21.95" customHeight="1" x14ac:dyDescent="0.15">
      <c r="A331" s="269"/>
      <c r="B331" s="145" t="s">
        <v>1266</v>
      </c>
      <c r="C331" s="145" t="s">
        <v>1267</v>
      </c>
      <c r="D331" s="149" t="e">
        <f>TRIM(文字列)</f>
        <v>#NAME?</v>
      </c>
    </row>
    <row r="332" spans="1:4" ht="21.95" customHeight="1" x14ac:dyDescent="0.15">
      <c r="A332" s="269"/>
      <c r="B332" s="145" t="s">
        <v>1268</v>
      </c>
      <c r="C332" s="145" t="s">
        <v>1269</v>
      </c>
      <c r="D332" s="149" t="e">
        <f>UPPER(文字列)</f>
        <v>#NAME?</v>
      </c>
    </row>
    <row r="333" spans="1:4" ht="21.95" customHeight="1" x14ac:dyDescent="0.15">
      <c r="A333" s="269"/>
      <c r="B333" s="145" t="s">
        <v>1270</v>
      </c>
      <c r="C333" s="145" t="s">
        <v>1271</v>
      </c>
      <c r="D333" s="149" t="e">
        <f>VALUE(文字列)</f>
        <v>#NAME?</v>
      </c>
    </row>
    <row r="334" spans="1:4" ht="21.95" customHeight="1" x14ac:dyDescent="0.15">
      <c r="A334" s="270"/>
      <c r="B334" s="145" t="s">
        <v>1272</v>
      </c>
      <c r="C334" s="145" t="s">
        <v>1273</v>
      </c>
      <c r="D334" s="149" t="e">
        <f>DOLLAR(数値, 桁数)</f>
        <v>#NAME?</v>
      </c>
    </row>
    <row r="335" spans="1:4" ht="21.95" customHeight="1" x14ac:dyDescent="0.15">
      <c r="A335" s="145"/>
      <c r="B335" s="146" t="s">
        <v>1274</v>
      </c>
      <c r="C335" s="146" t="s">
        <v>660</v>
      </c>
      <c r="D335" s="150" t="s">
        <v>661</v>
      </c>
    </row>
    <row r="336" spans="1:4" ht="21.95" customHeight="1" x14ac:dyDescent="0.15">
      <c r="A336" s="271" t="s">
        <v>1274</v>
      </c>
      <c r="B336" s="145" t="s">
        <v>1275</v>
      </c>
      <c r="C336" s="145" t="s">
        <v>1276</v>
      </c>
      <c r="D336" s="149" t="s">
        <v>1277</v>
      </c>
    </row>
    <row r="337" spans="1:4" ht="21.95" customHeight="1" x14ac:dyDescent="0.15">
      <c r="A337" s="272"/>
      <c r="B337" s="145" t="s">
        <v>1278</v>
      </c>
      <c r="C337" s="145" t="s">
        <v>1279</v>
      </c>
      <c r="D337" s="149" t="b">
        <f>FALSE( )</f>
        <v>0</v>
      </c>
    </row>
    <row r="338" spans="1:4" ht="21.95" customHeight="1" x14ac:dyDescent="0.15">
      <c r="A338" s="272"/>
      <c r="B338" s="145" t="s">
        <v>1280</v>
      </c>
      <c r="C338" s="145" t="s">
        <v>1281</v>
      </c>
      <c r="D338" s="149" t="e">
        <f>IF(論理式, 真の場合, 偽の場合)</f>
        <v>#NAME?</v>
      </c>
    </row>
    <row r="339" spans="1:4" ht="21.95" customHeight="1" x14ac:dyDescent="0.15">
      <c r="A339" s="272"/>
      <c r="B339" s="145" t="s">
        <v>1282</v>
      </c>
      <c r="C339" s="145" t="s">
        <v>1283</v>
      </c>
      <c r="D339" s="149" t="e">
        <f>NOT(論理式)</f>
        <v>#NAME?</v>
      </c>
    </row>
    <row r="340" spans="1:4" ht="21.95" customHeight="1" x14ac:dyDescent="0.15">
      <c r="A340" s="272"/>
      <c r="B340" s="145" t="s">
        <v>1284</v>
      </c>
      <c r="C340" s="145" t="s">
        <v>1285</v>
      </c>
      <c r="D340" s="149" t="s">
        <v>1286</v>
      </c>
    </row>
    <row r="341" spans="1:4" ht="21.95" customHeight="1" x14ac:dyDescent="0.15">
      <c r="A341" s="273"/>
      <c r="B341" s="145" t="s">
        <v>1287</v>
      </c>
      <c r="C341" s="145" t="s">
        <v>1288</v>
      </c>
      <c r="D341" s="149" t="b">
        <f>TRUE()</f>
        <v>1</v>
      </c>
    </row>
  </sheetData>
  <mergeCells count="10">
    <mergeCell ref="A208:A285"/>
    <mergeCell ref="A287:A307"/>
    <mergeCell ref="A309:A334"/>
    <mergeCell ref="A336:A341"/>
    <mergeCell ref="B1:D1"/>
    <mergeCell ref="A20:A32"/>
    <mergeCell ref="A34:A72"/>
    <mergeCell ref="A74:A126"/>
    <mergeCell ref="A128:A146"/>
    <mergeCell ref="A148:A206"/>
  </mergeCells>
  <phoneticPr fontId="1"/>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3"/>
  <sheetViews>
    <sheetView workbookViewId="0">
      <selection activeCell="A17" sqref="A17"/>
    </sheetView>
  </sheetViews>
  <sheetFormatPr defaultRowHeight="13.5" x14ac:dyDescent="0.15"/>
  <cols>
    <col min="1" max="1" width="16" customWidth="1"/>
    <col min="2" max="2" width="71" customWidth="1"/>
  </cols>
  <sheetData>
    <row r="1" spans="1:2" ht="24.75" x14ac:dyDescent="0.15">
      <c r="A1" s="154" t="s">
        <v>728</v>
      </c>
    </row>
    <row r="2" spans="1:2" x14ac:dyDescent="0.15">
      <c r="A2" s="192"/>
    </row>
    <row r="3" spans="1:2" x14ac:dyDescent="0.15">
      <c r="A3" s="194" t="s">
        <v>1440</v>
      </c>
    </row>
    <row r="4" spans="1:2" x14ac:dyDescent="0.15">
      <c r="A4" s="193"/>
    </row>
    <row r="5" spans="1:2" ht="15" customHeight="1" x14ac:dyDescent="0.15">
      <c r="A5" s="155" t="s">
        <v>1302</v>
      </c>
      <c r="B5" s="155" t="s">
        <v>1303</v>
      </c>
    </row>
    <row r="6" spans="1:2" ht="15" customHeight="1" x14ac:dyDescent="0.15">
      <c r="A6" s="156" t="s">
        <v>247</v>
      </c>
      <c r="B6" s="157" t="s">
        <v>1304</v>
      </c>
    </row>
    <row r="7" spans="1:2" ht="15" customHeight="1" x14ac:dyDescent="0.15">
      <c r="A7" s="156" t="s">
        <v>253</v>
      </c>
      <c r="B7" s="157" t="s">
        <v>1305</v>
      </c>
    </row>
    <row r="8" spans="1:2" ht="15" customHeight="1" x14ac:dyDescent="0.15">
      <c r="A8" s="156" t="s">
        <v>251</v>
      </c>
      <c r="B8" s="157" t="s">
        <v>1306</v>
      </c>
    </row>
    <row r="9" spans="1:2" ht="15" customHeight="1" x14ac:dyDescent="0.15">
      <c r="A9" s="156" t="s">
        <v>733</v>
      </c>
      <c r="B9" s="157" t="s">
        <v>1307</v>
      </c>
    </row>
    <row r="10" spans="1:2" ht="15" customHeight="1" x14ac:dyDescent="0.15">
      <c r="A10" s="156" t="s">
        <v>735</v>
      </c>
      <c r="B10" s="157" t="s">
        <v>1308</v>
      </c>
    </row>
    <row r="11" spans="1:2" ht="15" customHeight="1" x14ac:dyDescent="0.15">
      <c r="A11" s="156" t="s">
        <v>737</v>
      </c>
      <c r="B11" s="157" t="s">
        <v>1309</v>
      </c>
    </row>
    <row r="12" spans="1:2" ht="15" customHeight="1" x14ac:dyDescent="0.15">
      <c r="A12" s="156" t="s">
        <v>226</v>
      </c>
      <c r="B12" s="157" t="s">
        <v>1310</v>
      </c>
    </row>
    <row r="13" spans="1:2" ht="15" customHeight="1" x14ac:dyDescent="0.15">
      <c r="A13" s="156" t="s">
        <v>740</v>
      </c>
      <c r="B13" s="157" t="s">
        <v>1311</v>
      </c>
    </row>
    <row r="14" spans="1:2" ht="15" customHeight="1" x14ac:dyDescent="0.15">
      <c r="A14" s="156" t="s">
        <v>742</v>
      </c>
      <c r="B14" s="157" t="s">
        <v>1312</v>
      </c>
    </row>
    <row r="15" spans="1:2" ht="15" customHeight="1" x14ac:dyDescent="0.15">
      <c r="A15" s="156" t="s">
        <v>744</v>
      </c>
      <c r="B15" s="157" t="s">
        <v>1313</v>
      </c>
    </row>
    <row r="16" spans="1:2" ht="15" customHeight="1" x14ac:dyDescent="0.15">
      <c r="A16" s="156" t="s">
        <v>746</v>
      </c>
      <c r="B16" s="157" t="s">
        <v>1314</v>
      </c>
    </row>
    <row r="17" spans="1:2" ht="15" customHeight="1" x14ac:dyDescent="0.15">
      <c r="A17" s="156" t="s">
        <v>748</v>
      </c>
      <c r="B17" s="157" t="s">
        <v>1315</v>
      </c>
    </row>
    <row r="18" spans="1:2" ht="15" customHeight="1" x14ac:dyDescent="0.15">
      <c r="A18" s="156" t="s">
        <v>231</v>
      </c>
      <c r="B18" s="157" t="s">
        <v>1316</v>
      </c>
    </row>
    <row r="19" spans="1:2" ht="15" customHeight="1" x14ac:dyDescent="0.15">
      <c r="A19" s="156" t="s">
        <v>235</v>
      </c>
      <c r="B19" s="157" t="s">
        <v>1317</v>
      </c>
    </row>
    <row r="20" spans="1:2" ht="15" customHeight="1" x14ac:dyDescent="0.15">
      <c r="A20" s="156" t="s">
        <v>752</v>
      </c>
      <c r="B20" s="157" t="s">
        <v>1318</v>
      </c>
    </row>
    <row r="21" spans="1:2" ht="15" customHeight="1" x14ac:dyDescent="0.15">
      <c r="A21" s="156" t="s">
        <v>754</v>
      </c>
      <c r="B21" s="157" t="s">
        <v>1319</v>
      </c>
    </row>
    <row r="22" spans="1:2" ht="15" customHeight="1" x14ac:dyDescent="0.15">
      <c r="A22" s="156" t="s">
        <v>756</v>
      </c>
      <c r="B22" s="157" t="s">
        <v>1320</v>
      </c>
    </row>
    <row r="23" spans="1:2" ht="15" customHeight="1" x14ac:dyDescent="0.15">
      <c r="A23" s="156" t="s">
        <v>758</v>
      </c>
      <c r="B23" s="157" t="s">
        <v>1321</v>
      </c>
    </row>
    <row r="24" spans="1:2" ht="15" customHeight="1" x14ac:dyDescent="0.15">
      <c r="A24" s="156" t="s">
        <v>224</v>
      </c>
      <c r="B24" s="157" t="s">
        <v>1322</v>
      </c>
    </row>
    <row r="25" spans="1:2" ht="15" customHeight="1" x14ac:dyDescent="0.15">
      <c r="A25" s="156" t="s">
        <v>222</v>
      </c>
      <c r="B25" s="157" t="s">
        <v>1323</v>
      </c>
    </row>
    <row r="26" spans="1:2" ht="15" customHeight="1" x14ac:dyDescent="0.15">
      <c r="A26" s="156" t="s">
        <v>228</v>
      </c>
      <c r="B26" s="157" t="s">
        <v>1324</v>
      </c>
    </row>
    <row r="27" spans="1:2" ht="15" customHeight="1" x14ac:dyDescent="0.15">
      <c r="A27" s="156" t="s">
        <v>220</v>
      </c>
      <c r="B27" s="157" t="s">
        <v>1325</v>
      </c>
    </row>
    <row r="28" spans="1:2" ht="15" customHeight="1" x14ac:dyDescent="0.15">
      <c r="A28" s="156" t="s">
        <v>202</v>
      </c>
      <c r="B28" s="157" t="s">
        <v>1326</v>
      </c>
    </row>
    <row r="29" spans="1:2" ht="15" customHeight="1" x14ac:dyDescent="0.15">
      <c r="A29" s="156" t="s">
        <v>210</v>
      </c>
      <c r="B29" s="157" t="s">
        <v>1327</v>
      </c>
    </row>
    <row r="30" spans="1:2" ht="15" customHeight="1" x14ac:dyDescent="0.15">
      <c r="A30" s="156" t="s">
        <v>212</v>
      </c>
      <c r="B30" s="157" t="s">
        <v>1328</v>
      </c>
    </row>
    <row r="31" spans="1:2" ht="15" customHeight="1" x14ac:dyDescent="0.15">
      <c r="A31" s="156" t="s">
        <v>194</v>
      </c>
      <c r="B31" s="157" t="s">
        <v>1329</v>
      </c>
    </row>
    <row r="32" spans="1:2" ht="15" customHeight="1" x14ac:dyDescent="0.15">
      <c r="A32" s="156" t="s">
        <v>198</v>
      </c>
      <c r="B32" s="157" t="s">
        <v>1330</v>
      </c>
    </row>
    <row r="33" spans="1:2" ht="15" customHeight="1" x14ac:dyDescent="0.15">
      <c r="A33" s="156" t="s">
        <v>196</v>
      </c>
      <c r="B33" s="157" t="s">
        <v>1331</v>
      </c>
    </row>
    <row r="34" spans="1:2" ht="15" customHeight="1" x14ac:dyDescent="0.15">
      <c r="A34" s="156" t="s">
        <v>214</v>
      </c>
      <c r="B34" s="157" t="s">
        <v>1332</v>
      </c>
    </row>
    <row r="35" spans="1:2" ht="15" customHeight="1" x14ac:dyDescent="0.15">
      <c r="A35" s="156" t="s">
        <v>208</v>
      </c>
      <c r="B35" s="157" t="s">
        <v>1333</v>
      </c>
    </row>
    <row r="36" spans="1:2" ht="15" customHeight="1" x14ac:dyDescent="0.15">
      <c r="A36" s="156" t="s">
        <v>218</v>
      </c>
      <c r="B36" s="157" t="s">
        <v>1334</v>
      </c>
    </row>
    <row r="37" spans="1:2" ht="15" customHeight="1" x14ac:dyDescent="0.15">
      <c r="A37" s="156" t="s">
        <v>200</v>
      </c>
      <c r="B37" s="157" t="s">
        <v>1335</v>
      </c>
    </row>
    <row r="38" spans="1:2" ht="15" customHeight="1" x14ac:dyDescent="0.15">
      <c r="A38" s="156" t="s">
        <v>216</v>
      </c>
      <c r="B38" s="157" t="s">
        <v>1336</v>
      </c>
    </row>
    <row r="39" spans="1:2" ht="15" customHeight="1" x14ac:dyDescent="0.15">
      <c r="A39" s="156" t="s">
        <v>204</v>
      </c>
      <c r="B39" s="157" t="s">
        <v>1337</v>
      </c>
    </row>
    <row r="40" spans="1:2" ht="15" customHeight="1" x14ac:dyDescent="0.15">
      <c r="A40" s="156" t="s">
        <v>206</v>
      </c>
      <c r="B40" s="157" t="s">
        <v>1338</v>
      </c>
    </row>
    <row r="41" spans="1:2" ht="15" customHeight="1" x14ac:dyDescent="0.15">
      <c r="A41" s="156" t="s">
        <v>779</v>
      </c>
      <c r="B41" s="157" t="s">
        <v>1339</v>
      </c>
    </row>
    <row r="42" spans="1:2" ht="15" customHeight="1" x14ac:dyDescent="0.15">
      <c r="A42" s="156" t="s">
        <v>781</v>
      </c>
      <c r="B42" s="157" t="s">
        <v>1340</v>
      </c>
    </row>
    <row r="43" spans="1:2" ht="15" customHeight="1" x14ac:dyDescent="0.15">
      <c r="A43" s="156" t="s">
        <v>783</v>
      </c>
      <c r="B43" s="157" t="s">
        <v>1341</v>
      </c>
    </row>
  </sheetData>
  <phoneticPr fontId="1"/>
  <hyperlinks>
    <hyperlink ref="A6" r:id="rId1" tooltip="BESSELJ関数" display="http://excelfunction.pc-users.net/engineering/besselj.html"/>
    <hyperlink ref="A7" r:id="rId2" tooltip="BESSELK関数" display="http://excelfunction.pc-users.net/engineering/besselk.html"/>
    <hyperlink ref="A8" r:id="rId3" tooltip="BESSELY関数" display="http://excelfunction.pc-users.net/engineering/bessely.html"/>
    <hyperlink ref="A9" r:id="rId4" tooltip="BIN2DEC関数" display="http://excelfunction.pc-users.net/engineering/bin2dec.html"/>
    <hyperlink ref="A10" r:id="rId5" tooltip="BIN2HEX関数" display="http://excelfunction.pc-users.net/engineering/bin2hex.html"/>
    <hyperlink ref="A11" r:id="rId6" tooltip="BIN2OCT関数" display="http://excelfunction.pc-users.net/engineering/bin2oct.html"/>
    <hyperlink ref="A12" r:id="rId7" tooltip="COMPLEX関数" display="http://excelfunction.pc-users.net/engineering/complex.html"/>
    <hyperlink ref="A13" r:id="rId8" tooltip="CONVERT関数" display="http://excelfunction.pc-users.net/engineering/convert.html"/>
    <hyperlink ref="A14" r:id="rId9" tooltip="DEC2BIN関数" display="http://excelfunction.pc-users.net/engineering/dec2bin.html"/>
    <hyperlink ref="A15" r:id="rId10" tooltip="DEC2HEX関数" display="http://excelfunction.pc-users.net/engineering/dec2hex.html"/>
    <hyperlink ref="A16" r:id="rId11" tooltip="DEC2OCT関数" display="http://excelfunction.pc-users.net/engineering/dec2oct.html"/>
    <hyperlink ref="A17" r:id="rId12" tooltip="DELTA関数" display="http://excelfunction.pc-users.net/engineering/delta.html"/>
    <hyperlink ref="A18" r:id="rId13" tooltip="ERF関数" display="http://excelfunction.pc-users.net/engineering/erf.html"/>
    <hyperlink ref="A19" r:id="rId14" tooltip="ERFC関数" display="http://excelfunction.pc-users.net/engineering/erfc.html"/>
    <hyperlink ref="A20" r:id="rId15" tooltip="GESTEP関数" display="http://excelfunction.pc-users.net/engineering/gestep.html"/>
    <hyperlink ref="A21" r:id="rId16" tooltip="HEX2BIN関数" display="http://excelfunction.pc-users.net/engineering/hex2bin.html"/>
    <hyperlink ref="A22" r:id="rId17" tooltip="HEX2DEC関数" display="http://excelfunction.pc-users.net/engineering/hex2dec.html"/>
    <hyperlink ref="A23" r:id="rId18" tooltip="HEX2OCT関数" display="http://excelfunction.pc-users.net/engineering/hex2oct.html"/>
    <hyperlink ref="A24" r:id="rId19" tooltip="IMABS関数" display="http://excelfunction.pc-users.net/engineering/imabs.html"/>
    <hyperlink ref="A25" r:id="rId20" tooltip="IMAGINARY関数" display="http://excelfunction.pc-users.net/engineering/imaginary.html"/>
    <hyperlink ref="A26" r:id="rId21" tooltip="IMARGUMENT関数" display="http://excelfunction.pc-users.net/engineering/imargument.html"/>
    <hyperlink ref="A27" r:id="rId22" tooltip="IMCONJUGATE関数" display="http://excelfunction.pc-users.net/engineering/imconjugate.html"/>
    <hyperlink ref="A28" r:id="rId23" tooltip="IMCOS関数" display="http://excelfunction.pc-users.net/engineering/imcos.html"/>
    <hyperlink ref="A29" r:id="rId24" tooltip="IMDIV関数" display="http://excelfunction.pc-users.net/engineering/imdiv.html"/>
    <hyperlink ref="A30" r:id="rId25" tooltip="IMEXP関数" display="http://excelfunction.pc-users.net/engineering/imexp.html"/>
    <hyperlink ref="A31" r:id="rId26" tooltip="IMLN関数" display="http://excelfunction.pc-users.net/engineering/imln.html"/>
    <hyperlink ref="A32" r:id="rId27" tooltip="IMLOG10関数" display="http://excelfunction.pc-users.net/engineering/imlog10.html"/>
    <hyperlink ref="A33" r:id="rId28" tooltip="IMLOG2関数" display="http://excelfunction.pc-users.net/engineering/imlog2.html"/>
    <hyperlink ref="A34" r:id="rId29" tooltip="IMPOWER関数" display="http://excelfunction.pc-users.net/engineering/impower.html"/>
    <hyperlink ref="A35" r:id="rId30" tooltip="IMPRODUCT関数" display="http://excelfunction.pc-users.net/engineering/improduct.html"/>
    <hyperlink ref="A36" r:id="rId31" tooltip="IMREAL関数" display="http://excelfunction.pc-users.net/engineering/imreal.html"/>
    <hyperlink ref="A37" r:id="rId32" tooltip="IMSIN関数" display="http://excelfunction.pc-users.net/engineering/imsin.html"/>
    <hyperlink ref="A38" r:id="rId33" tooltip="IMSQRT関数" display="http://excelfunction.pc-users.net/engineering/imsqrt.html"/>
    <hyperlink ref="A39" r:id="rId34" tooltip="IMSUB関数" display="http://excelfunction.pc-users.net/engineering/imsub.html"/>
    <hyperlink ref="A40" r:id="rId35" tooltip="IMSUM関数" display="http://excelfunction.pc-users.net/engineering/imsum.html"/>
    <hyperlink ref="A41" r:id="rId36" tooltip="OCT2BIN関数" display="http://excelfunction.pc-users.net/engineering/oct2bin.html"/>
    <hyperlink ref="A42" r:id="rId37" tooltip="OCT2DEC関数" display="http://excelfunction.pc-users.net/engineering/oct2dec.html"/>
    <hyperlink ref="A43" r:id="rId38" tooltip="OCT2HEX関数" display="http://excelfunction.pc-users.net/engineering/oct2hex.html"/>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3"/>
  <sheetViews>
    <sheetView workbookViewId="0">
      <selection activeCell="Q1" sqref="Q1"/>
    </sheetView>
  </sheetViews>
  <sheetFormatPr defaultRowHeight="13.5" x14ac:dyDescent="0.15"/>
  <cols>
    <col min="1" max="1" width="6.25" customWidth="1"/>
    <col min="7" max="7" width="3.125" customWidth="1"/>
    <col min="8" max="8" width="5.875" customWidth="1"/>
    <col min="17" max="17" width="12.25" customWidth="1"/>
  </cols>
  <sheetData>
    <row r="1" spans="1:18" ht="14.25" x14ac:dyDescent="0.15">
      <c r="A1" s="295" t="s">
        <v>1651</v>
      </c>
      <c r="B1" s="295"/>
      <c r="C1" s="295"/>
      <c r="D1" s="295"/>
      <c r="E1" s="295"/>
      <c r="F1" s="295"/>
      <c r="G1" s="295"/>
      <c r="H1" s="295"/>
      <c r="I1" s="295"/>
      <c r="J1" s="295"/>
      <c r="K1" s="295"/>
      <c r="L1" s="295"/>
      <c r="M1" s="295"/>
      <c r="N1" s="295"/>
      <c r="O1" s="295"/>
      <c r="P1" s="295"/>
      <c r="Q1" s="222" t="s">
        <v>1650</v>
      </c>
      <c r="R1" s="33"/>
    </row>
    <row r="2" spans="1:18" ht="17.25" x14ac:dyDescent="0.15">
      <c r="B2" s="128" t="s">
        <v>536</v>
      </c>
      <c r="D2" s="32"/>
      <c r="E2" s="32"/>
      <c r="F2" s="32"/>
      <c r="G2" s="32"/>
      <c r="H2" s="32"/>
      <c r="I2" s="32"/>
      <c r="J2" s="32"/>
      <c r="K2" s="32"/>
    </row>
    <row r="3" spans="1:18" ht="17.25" x14ac:dyDescent="0.15">
      <c r="B3" s="12" t="s">
        <v>615</v>
      </c>
      <c r="D3" s="32"/>
      <c r="E3" s="32"/>
      <c r="F3" s="32"/>
      <c r="G3" s="32"/>
      <c r="H3" s="32"/>
      <c r="I3" s="32"/>
      <c r="J3" s="32"/>
      <c r="K3" s="32"/>
    </row>
    <row r="4" spans="1:18" ht="17.25" x14ac:dyDescent="0.15">
      <c r="B4" s="121" t="s">
        <v>537</v>
      </c>
      <c r="D4" s="32"/>
      <c r="E4" s="32"/>
      <c r="F4" s="32"/>
      <c r="G4" s="32"/>
      <c r="H4" s="32"/>
      <c r="I4" s="32"/>
      <c r="J4" s="32"/>
      <c r="K4" s="225" t="s">
        <v>1515</v>
      </c>
      <c r="L4" s="229"/>
      <c r="M4" s="229"/>
    </row>
    <row r="5" spans="1:18" ht="17.25" x14ac:dyDescent="0.15">
      <c r="D5" s="32"/>
      <c r="E5" s="32"/>
      <c r="F5" s="69" t="s">
        <v>491</v>
      </c>
      <c r="G5" s="32"/>
      <c r="H5" s="70" t="s">
        <v>616</v>
      </c>
      <c r="I5" s="32"/>
      <c r="J5" s="32"/>
      <c r="K5" s="32"/>
      <c r="L5" s="35" t="s">
        <v>258</v>
      </c>
      <c r="M5" s="32"/>
    </row>
    <row r="6" spans="1:18" ht="18" thickBot="1" x14ac:dyDescent="0.2">
      <c r="D6" s="32"/>
      <c r="E6" s="32"/>
      <c r="F6" s="2" t="s">
        <v>1</v>
      </c>
      <c r="G6" s="32"/>
      <c r="H6" s="71" t="s">
        <v>1</v>
      </c>
      <c r="I6" s="32"/>
      <c r="J6" s="32"/>
      <c r="K6" s="32"/>
      <c r="L6" s="35" t="s">
        <v>1</v>
      </c>
      <c r="M6" s="32"/>
    </row>
    <row r="7" spans="1:18" ht="18" thickBot="1" x14ac:dyDescent="0.2">
      <c r="D7" s="32"/>
      <c r="E7" s="31" t="s">
        <v>489</v>
      </c>
      <c r="F7" s="36">
        <v>20</v>
      </c>
      <c r="G7" s="37" t="s">
        <v>490</v>
      </c>
      <c r="H7" s="73">
        <f>LOG10(F7)</f>
        <v>1.3010299956639813</v>
      </c>
      <c r="I7" s="38"/>
      <c r="J7" s="38"/>
      <c r="K7" s="38"/>
      <c r="L7" s="40">
        <f>H7*10</f>
        <v>13.010299956639813</v>
      </c>
      <c r="M7" s="32" t="s">
        <v>259</v>
      </c>
      <c r="N7" s="32" t="s">
        <v>260</v>
      </c>
      <c r="O7" s="39"/>
    </row>
    <row r="8" spans="1:18" ht="17.25" x14ac:dyDescent="0.15">
      <c r="D8" s="32"/>
      <c r="E8" s="14"/>
      <c r="F8" s="72"/>
      <c r="G8" s="41"/>
      <c r="H8" s="38"/>
      <c r="I8" s="38"/>
      <c r="J8" s="38"/>
      <c r="K8" s="38"/>
      <c r="L8" s="32"/>
      <c r="M8" s="32"/>
      <c r="N8" s="39"/>
      <c r="O8" s="39"/>
    </row>
    <row r="9" spans="1:18" ht="17.25" x14ac:dyDescent="0.15">
      <c r="D9" s="32"/>
      <c r="E9" s="14"/>
      <c r="F9" s="42"/>
      <c r="G9" s="41"/>
      <c r="H9" s="38"/>
      <c r="I9" s="38"/>
      <c r="J9" s="38"/>
      <c r="K9" s="38"/>
      <c r="L9" s="35" t="s">
        <v>261</v>
      </c>
      <c r="M9" s="32"/>
      <c r="N9" s="39"/>
      <c r="O9" s="39"/>
    </row>
    <row r="10" spans="1:18" ht="18" thickBot="1" x14ac:dyDescent="0.2">
      <c r="B10" s="121" t="s">
        <v>538</v>
      </c>
      <c r="D10" s="32"/>
      <c r="F10" s="42"/>
      <c r="G10" s="41"/>
      <c r="H10" s="38"/>
      <c r="I10" s="38"/>
      <c r="J10" s="38"/>
      <c r="K10" s="38"/>
      <c r="L10" s="35" t="s">
        <v>1</v>
      </c>
      <c r="M10" s="32"/>
      <c r="N10" s="39"/>
      <c r="O10" s="39"/>
    </row>
    <row r="11" spans="1:18" ht="18" thickBot="1" x14ac:dyDescent="0.2">
      <c r="D11" s="32"/>
      <c r="E11" s="225" t="s">
        <v>1516</v>
      </c>
      <c r="F11" s="230"/>
      <c r="G11" s="230"/>
      <c r="H11" s="230"/>
      <c r="I11" s="38"/>
      <c r="J11" s="38"/>
      <c r="K11" s="38"/>
      <c r="L11" s="40">
        <f>H7*20</f>
        <v>26.020599913279625</v>
      </c>
      <c r="M11" s="32" t="s">
        <v>259</v>
      </c>
      <c r="N11" s="32" t="s">
        <v>262</v>
      </c>
      <c r="O11" s="39"/>
    </row>
    <row r="12" spans="1:18" ht="17.25" x14ac:dyDescent="0.15">
      <c r="D12" s="32"/>
      <c r="E12" s="14"/>
      <c r="F12" s="43" t="s">
        <v>263</v>
      </c>
      <c r="G12" s="41"/>
      <c r="H12" s="38"/>
      <c r="I12" s="38"/>
      <c r="J12" s="38"/>
      <c r="K12" s="38"/>
      <c r="L12" s="32"/>
      <c r="M12" s="32"/>
      <c r="N12" s="39"/>
      <c r="O12" s="39"/>
    </row>
    <row r="13" spans="1:18" ht="18" thickBot="1" x14ac:dyDescent="0.2">
      <c r="D13" s="32"/>
      <c r="E13" s="14"/>
      <c r="F13" s="43" t="s">
        <v>1</v>
      </c>
      <c r="G13" s="41"/>
      <c r="H13" s="38"/>
      <c r="I13" s="38"/>
      <c r="J13" s="38"/>
      <c r="K13" s="38"/>
      <c r="L13" s="43"/>
      <c r="M13" s="42"/>
      <c r="N13" s="44"/>
      <c r="O13" s="44"/>
      <c r="P13" s="4"/>
      <c r="Q13" s="4"/>
      <c r="R13" s="4"/>
    </row>
    <row r="14" spans="1:18" ht="18" thickBot="1" x14ac:dyDescent="0.2">
      <c r="D14" s="32"/>
      <c r="E14" s="14"/>
      <c r="F14" s="36">
        <v>30</v>
      </c>
      <c r="G14" s="30" t="s">
        <v>534</v>
      </c>
      <c r="H14" s="38"/>
      <c r="I14" s="38"/>
      <c r="J14" s="38"/>
      <c r="K14" s="38"/>
      <c r="L14" s="42"/>
      <c r="M14" s="42"/>
      <c r="N14" s="42"/>
      <c r="O14" s="44"/>
      <c r="P14" s="4"/>
      <c r="Q14" s="4"/>
      <c r="R14" s="4"/>
    </row>
    <row r="15" spans="1:18" ht="18" thickBot="1" x14ac:dyDescent="0.2">
      <c r="D15" s="32"/>
      <c r="E15" s="14"/>
      <c r="F15" s="40">
        <f>POWER(10,F14/10)</f>
        <v>1000</v>
      </c>
      <c r="G15" s="30" t="s">
        <v>535</v>
      </c>
      <c r="H15" s="38"/>
      <c r="I15" s="38"/>
      <c r="J15" s="38"/>
      <c r="K15" s="38"/>
      <c r="L15" s="38"/>
      <c r="M15" s="38"/>
      <c r="N15" s="39"/>
      <c r="O15" s="39"/>
    </row>
    <row r="16" spans="1:18" ht="17.25" x14ac:dyDescent="0.15">
      <c r="D16" s="32"/>
      <c r="E16" s="14"/>
      <c r="L16" s="38"/>
      <c r="M16" s="38"/>
      <c r="N16" s="39"/>
      <c r="O16" s="39"/>
    </row>
    <row r="17" spans="3:17" ht="17.25" x14ac:dyDescent="0.15">
      <c r="D17" s="32"/>
      <c r="E17" s="14"/>
      <c r="F17" s="43" t="s">
        <v>264</v>
      </c>
      <c r="G17" s="41"/>
      <c r="H17" s="38"/>
      <c r="I17" s="38"/>
      <c r="J17" s="38"/>
      <c r="K17" s="32"/>
      <c r="L17" s="38"/>
      <c r="M17" s="38"/>
      <c r="N17" s="39"/>
      <c r="O17" s="39"/>
    </row>
    <row r="18" spans="3:17" ht="18" thickBot="1" x14ac:dyDescent="0.2">
      <c r="D18" s="32"/>
      <c r="E18" s="14"/>
      <c r="F18" s="43" t="s">
        <v>1</v>
      </c>
      <c r="G18" s="41"/>
      <c r="H18" s="38"/>
      <c r="I18" s="38"/>
      <c r="J18" s="38"/>
      <c r="L18" s="38"/>
      <c r="M18" s="38"/>
      <c r="N18" s="39"/>
      <c r="O18" s="39"/>
    </row>
    <row r="19" spans="3:17" ht="18" thickBot="1" x14ac:dyDescent="0.2">
      <c r="D19" s="32"/>
      <c r="E19" s="14"/>
      <c r="F19" s="36">
        <v>60</v>
      </c>
      <c r="G19" s="30" t="s">
        <v>259</v>
      </c>
      <c r="H19" s="38"/>
      <c r="I19" s="38"/>
      <c r="J19" s="38"/>
    </row>
    <row r="20" spans="3:17" ht="18" thickBot="1" x14ac:dyDescent="0.2">
      <c r="D20" s="32"/>
      <c r="E20" s="14"/>
      <c r="F20" s="40">
        <f>POWER(10,F19/20)</f>
        <v>1000</v>
      </c>
      <c r="G20" s="30" t="s">
        <v>292</v>
      </c>
      <c r="H20" s="38"/>
      <c r="I20" s="38"/>
      <c r="J20" s="38"/>
      <c r="L20" s="43"/>
      <c r="M20" s="43"/>
    </row>
    <row r="21" spans="3:17" ht="17.25" x14ac:dyDescent="0.15">
      <c r="D21" s="32"/>
      <c r="E21" s="14"/>
      <c r="J21" s="38"/>
      <c r="L21" s="3"/>
      <c r="M21" s="3"/>
    </row>
    <row r="22" spans="3:17" ht="17.25" x14ac:dyDescent="0.15">
      <c r="L22" s="42"/>
      <c r="M22" s="42"/>
    </row>
    <row r="23" spans="3:17" ht="17.25" x14ac:dyDescent="0.15">
      <c r="C23" s="78"/>
      <c r="D23" s="101"/>
      <c r="E23" s="102" t="s">
        <v>254</v>
      </c>
      <c r="F23" s="122">
        <f>EXP(1)</f>
        <v>2.7182818284590451</v>
      </c>
      <c r="G23" s="122" t="s">
        <v>255</v>
      </c>
      <c r="H23" s="123" t="s">
        <v>256</v>
      </c>
      <c r="I23" s="124">
        <v>1</v>
      </c>
      <c r="J23" s="122"/>
      <c r="K23" s="122"/>
      <c r="L23" s="79"/>
      <c r="M23" s="79"/>
      <c r="N23" s="79"/>
      <c r="O23" s="79"/>
      <c r="P23" s="79"/>
      <c r="Q23" s="80"/>
    </row>
    <row r="24" spans="3:17" ht="17.25" x14ac:dyDescent="0.15">
      <c r="C24" s="81"/>
      <c r="D24" s="103"/>
      <c r="E24" s="103"/>
      <c r="F24" s="125"/>
      <c r="G24" s="125"/>
      <c r="H24" s="125"/>
      <c r="I24" s="93"/>
      <c r="J24" s="125"/>
      <c r="K24" s="125"/>
      <c r="L24" s="6"/>
      <c r="M24" s="6"/>
      <c r="N24" s="6"/>
      <c r="O24" s="6"/>
      <c r="P24" s="6"/>
      <c r="Q24" s="83"/>
    </row>
    <row r="25" spans="3:17" ht="17.25" x14ac:dyDescent="0.15">
      <c r="C25" s="81"/>
      <c r="D25" s="103"/>
      <c r="E25" s="93" t="s">
        <v>256</v>
      </c>
      <c r="F25" s="126">
        <v>2.7182818279999998</v>
      </c>
      <c r="G25" s="125" t="s">
        <v>255</v>
      </c>
      <c r="H25" s="127">
        <v>1</v>
      </c>
      <c r="I25" s="125" t="s">
        <v>255</v>
      </c>
      <c r="J25" s="125" t="s">
        <v>539</v>
      </c>
      <c r="K25" s="125"/>
      <c r="L25" s="6"/>
      <c r="M25" s="6"/>
      <c r="N25" s="6"/>
      <c r="O25" s="6"/>
      <c r="P25" s="6"/>
      <c r="Q25" s="83"/>
    </row>
    <row r="26" spans="3:17" ht="17.25" x14ac:dyDescent="0.15">
      <c r="C26" s="81"/>
      <c r="D26" s="103"/>
      <c r="E26" s="93"/>
      <c r="F26" s="105"/>
      <c r="G26" s="103"/>
      <c r="H26" s="106"/>
      <c r="I26" s="103"/>
      <c r="J26" s="107"/>
      <c r="K26" s="103"/>
      <c r="L26" s="6"/>
      <c r="M26" s="6"/>
      <c r="N26" s="6"/>
      <c r="O26" s="6"/>
      <c r="P26" s="6"/>
      <c r="Q26" s="83"/>
    </row>
    <row r="27" spans="3:17" ht="17.25" x14ac:dyDescent="0.15">
      <c r="C27" s="81"/>
      <c r="D27" s="103"/>
      <c r="E27" s="108" t="s">
        <v>257</v>
      </c>
      <c r="F27" s="105"/>
      <c r="G27" s="103"/>
      <c r="H27" s="106"/>
      <c r="I27" s="103"/>
      <c r="J27" s="107"/>
      <c r="K27" s="103"/>
      <c r="L27" s="6"/>
      <c r="M27" s="6"/>
      <c r="N27" s="6"/>
      <c r="O27" s="6"/>
      <c r="P27" s="6"/>
      <c r="Q27" s="83"/>
    </row>
    <row r="28" spans="3:17" ht="17.25" x14ac:dyDescent="0.15">
      <c r="C28" s="81"/>
      <c r="D28" s="103"/>
      <c r="E28" s="104"/>
      <c r="F28" s="105"/>
      <c r="G28" s="103"/>
      <c r="H28" s="106"/>
      <c r="I28" s="103"/>
      <c r="J28" s="107"/>
      <c r="K28" s="103"/>
      <c r="L28" s="6"/>
      <c r="M28" s="6"/>
      <c r="N28" s="6"/>
      <c r="O28" s="6"/>
      <c r="P28" s="6"/>
      <c r="Q28" s="83"/>
    </row>
    <row r="29" spans="3:17" ht="17.25" x14ac:dyDescent="0.15">
      <c r="C29" s="81"/>
      <c r="D29" s="103"/>
      <c r="E29" s="104"/>
      <c r="F29" s="109" t="s">
        <v>491</v>
      </c>
      <c r="G29" s="103"/>
      <c r="H29" s="110" t="s">
        <v>617</v>
      </c>
      <c r="I29" s="103"/>
      <c r="J29" s="107"/>
      <c r="K29" s="103"/>
      <c r="L29" s="6"/>
      <c r="M29" s="6"/>
      <c r="N29" s="6"/>
      <c r="O29" s="6"/>
      <c r="P29" s="6"/>
      <c r="Q29" s="83"/>
    </row>
    <row r="30" spans="3:17" ht="18" thickBot="1" x14ac:dyDescent="0.2">
      <c r="C30" s="81"/>
      <c r="D30" s="103"/>
      <c r="E30" s="103"/>
      <c r="F30" s="5" t="s">
        <v>1</v>
      </c>
      <c r="G30" s="103"/>
      <c r="H30" s="5" t="s">
        <v>1</v>
      </c>
      <c r="I30" s="103"/>
      <c r="J30" s="103"/>
      <c r="K30" s="103"/>
      <c r="L30" s="6"/>
      <c r="M30" s="6"/>
      <c r="N30" s="6"/>
      <c r="O30" s="6"/>
      <c r="P30" s="6"/>
      <c r="Q30" s="83"/>
    </row>
    <row r="31" spans="3:17" ht="18" thickBot="1" x14ac:dyDescent="0.2">
      <c r="C31" s="81"/>
      <c r="D31" s="103"/>
      <c r="E31" s="93" t="s">
        <v>487</v>
      </c>
      <c r="F31" s="36">
        <v>2.718</v>
      </c>
      <c r="G31" s="37" t="s">
        <v>488</v>
      </c>
      <c r="H31" s="73">
        <f>LN(F31)</f>
        <v>0.99989631572895199</v>
      </c>
      <c r="I31" s="111"/>
      <c r="J31" s="111"/>
      <c r="K31" s="111"/>
      <c r="L31" s="111"/>
      <c r="M31" s="111"/>
      <c r="N31" s="30"/>
      <c r="O31" s="30"/>
      <c r="P31" s="30"/>
      <c r="Q31" s="112"/>
    </row>
    <row r="32" spans="3:17" ht="17.25" x14ac:dyDescent="0.15">
      <c r="C32" s="84"/>
      <c r="D32" s="113"/>
      <c r="E32" s="114"/>
      <c r="F32" s="115"/>
      <c r="G32" s="116"/>
      <c r="H32" s="117"/>
      <c r="I32" s="117"/>
      <c r="J32" s="117"/>
      <c r="K32" s="117"/>
      <c r="L32" s="117"/>
      <c r="M32" s="117"/>
      <c r="N32" s="118"/>
      <c r="O32" s="118"/>
      <c r="P32" s="118"/>
      <c r="Q32" s="119"/>
    </row>
    <row r="33" spans="2:13" ht="17.25" x14ac:dyDescent="0.15">
      <c r="L33" s="42"/>
      <c r="M33" s="42"/>
    </row>
    <row r="34" spans="2:13" ht="17.25" x14ac:dyDescent="0.15">
      <c r="B34" s="32" t="s">
        <v>265</v>
      </c>
      <c r="C34" s="32"/>
      <c r="D34" s="32"/>
      <c r="E34" s="32"/>
      <c r="F34" s="32"/>
      <c r="G34" s="32"/>
      <c r="H34" s="32"/>
      <c r="K34" s="32"/>
    </row>
    <row r="35" spans="2:13" ht="17.25" x14ac:dyDescent="0.15">
      <c r="B35" s="34" t="s">
        <v>266</v>
      </c>
      <c r="C35" s="32"/>
      <c r="D35" s="32"/>
      <c r="E35" s="32"/>
      <c r="F35" s="32"/>
      <c r="G35" s="32"/>
      <c r="H35" s="32"/>
      <c r="K35" s="32"/>
    </row>
    <row r="36" spans="2:13" ht="17.25" x14ac:dyDescent="0.15">
      <c r="B36" s="32"/>
      <c r="C36" s="32"/>
      <c r="D36" s="32"/>
      <c r="E36" s="32"/>
      <c r="F36" s="32"/>
      <c r="G36" s="32"/>
      <c r="H36" s="32"/>
      <c r="K36" s="32"/>
    </row>
    <row r="37" spans="2:13" ht="17.25" x14ac:dyDescent="0.15">
      <c r="B37" s="32" t="s">
        <v>267</v>
      </c>
    </row>
    <row r="38" spans="2:13" ht="17.25" x14ac:dyDescent="0.15">
      <c r="B38" s="32" t="s">
        <v>268</v>
      </c>
    </row>
    <row r="39" spans="2:13" ht="17.25" x14ac:dyDescent="0.15">
      <c r="B39" s="32" t="s">
        <v>269</v>
      </c>
    </row>
    <row r="40" spans="2:13" ht="17.25" x14ac:dyDescent="0.15">
      <c r="B40" s="32" t="s">
        <v>270</v>
      </c>
    </row>
    <row r="41" spans="2:13" ht="17.25" x14ac:dyDescent="0.15">
      <c r="B41" s="32" t="s">
        <v>271</v>
      </c>
    </row>
    <row r="42" spans="2:13" ht="17.25" x14ac:dyDescent="0.15">
      <c r="B42" s="34" t="s">
        <v>272</v>
      </c>
    </row>
    <row r="43" spans="2:13" ht="17.25" x14ac:dyDescent="0.15">
      <c r="B43" s="34" t="s">
        <v>273</v>
      </c>
    </row>
  </sheetData>
  <mergeCells count="2">
    <mergeCell ref="K4:M4"/>
    <mergeCell ref="E11:H11"/>
  </mergeCells>
  <phoneticPr fontId="1"/>
  <pageMargins left="0.7" right="0.7" top="0.75" bottom="0.75" header="0.3" footer="0.3"/>
  <pageSetup paperSize="9" orientation="portrait" horizontalDpi="4294967292" verticalDpi="4294967292"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6"/>
  <sheetViews>
    <sheetView workbookViewId="0">
      <selection activeCell="Q1" sqref="Q1"/>
    </sheetView>
  </sheetViews>
  <sheetFormatPr defaultRowHeight="13.5" x14ac:dyDescent="0.15"/>
  <cols>
    <col min="2" max="2" width="3.5" customWidth="1"/>
    <col min="3" max="4" width="2.625" customWidth="1"/>
    <col min="5" max="5" width="10.625" customWidth="1"/>
    <col min="6" max="6" width="2.625" customWidth="1"/>
    <col min="7" max="7" width="10.625" customWidth="1"/>
    <col min="8" max="8" width="2.625" customWidth="1"/>
    <col min="9" max="9" width="10.625" customWidth="1"/>
    <col min="11" max="11" width="12.625" customWidth="1"/>
    <col min="12" max="12" width="5.625" customWidth="1"/>
    <col min="13" max="13" width="12.625" customWidth="1"/>
    <col min="17" max="17" width="12.125" customWidth="1"/>
  </cols>
  <sheetData>
    <row r="1" spans="1:17" x14ac:dyDescent="0.15">
      <c r="Q1" s="222" t="s">
        <v>1650</v>
      </c>
    </row>
    <row r="2" spans="1:17" ht="17.25" x14ac:dyDescent="0.15">
      <c r="E2" s="120" t="s">
        <v>1567</v>
      </c>
      <c r="L2" s="189"/>
      <c r="M2" s="189"/>
      <c r="N2" s="189"/>
      <c r="O2" s="189"/>
      <c r="P2" s="189"/>
      <c r="Q2" s="189"/>
    </row>
    <row r="4" spans="1:17" ht="24.75" customHeight="1" x14ac:dyDescent="0.15">
      <c r="B4" s="135" t="s">
        <v>621</v>
      </c>
      <c r="C4" s="136" t="s">
        <v>619</v>
      </c>
      <c r="D4" t="s">
        <v>488</v>
      </c>
      <c r="E4" s="200" t="s">
        <v>1568</v>
      </c>
      <c r="K4" s="120" t="s">
        <v>1569</v>
      </c>
    </row>
    <row r="6" spans="1:17" ht="18" thickBot="1" x14ac:dyDescent="0.2">
      <c r="E6" s="35" t="s">
        <v>622</v>
      </c>
      <c r="F6" s="34"/>
      <c r="G6" s="137" t="s">
        <v>620</v>
      </c>
      <c r="H6" s="34"/>
      <c r="I6" s="137" t="s">
        <v>7</v>
      </c>
    </row>
    <row r="7" spans="1:17" ht="18" thickBot="1" x14ac:dyDescent="0.2">
      <c r="E7" s="138">
        <v>2</v>
      </c>
      <c r="F7" s="34"/>
      <c r="G7" s="138">
        <v>-1</v>
      </c>
      <c r="H7" s="34"/>
      <c r="I7" s="139">
        <f>POWER(E7,G7)</f>
        <v>0.5</v>
      </c>
    </row>
    <row r="8" spans="1:17" ht="17.25" x14ac:dyDescent="0.15">
      <c r="E8" s="218"/>
      <c r="F8" s="219"/>
      <c r="G8" s="218"/>
      <c r="H8" s="219"/>
      <c r="I8" s="218"/>
    </row>
    <row r="9" spans="1:17" ht="17.25" x14ac:dyDescent="0.15">
      <c r="E9" s="218"/>
      <c r="F9" s="219"/>
      <c r="G9" s="218"/>
      <c r="H9" s="219"/>
      <c r="I9" s="218"/>
    </row>
    <row r="10" spans="1:17" ht="17.25" x14ac:dyDescent="0.15">
      <c r="E10" s="218"/>
      <c r="F10" s="219"/>
      <c r="G10" s="218"/>
      <c r="H10" s="219"/>
      <c r="I10" s="218"/>
    </row>
    <row r="11" spans="1:17" ht="17.25" x14ac:dyDescent="0.15">
      <c r="E11" s="218"/>
      <c r="F11" s="219"/>
      <c r="G11" s="218"/>
      <c r="H11" s="219"/>
      <c r="I11" s="218"/>
    </row>
    <row r="12" spans="1:17" ht="14.25" x14ac:dyDescent="0.15">
      <c r="A12" s="199" t="s">
        <v>1570</v>
      </c>
    </row>
    <row r="13" spans="1:17" x14ac:dyDescent="0.15">
      <c r="K13" s="190" t="s">
        <v>1512</v>
      </c>
    </row>
    <row r="14" spans="1:17" ht="18" customHeight="1" thickBot="1" x14ac:dyDescent="0.2">
      <c r="E14" s="191"/>
      <c r="F14" s="191"/>
      <c r="G14" s="191"/>
      <c r="K14" s="188" t="s">
        <v>1439</v>
      </c>
      <c r="M14" s="137" t="s">
        <v>7</v>
      </c>
    </row>
    <row r="15" spans="1:17" ht="18" customHeight="1" thickBot="1" x14ac:dyDescent="0.2">
      <c r="K15" s="9">
        <v>4</v>
      </c>
      <c r="M15" s="10">
        <f>SQRT(K15)</f>
        <v>2</v>
      </c>
    </row>
    <row r="16" spans="1:17" ht="18" customHeight="1" x14ac:dyDescent="0.15"/>
    <row r="17" spans="1:13" x14ac:dyDescent="0.15">
      <c r="K17" s="190" t="s">
        <v>1513</v>
      </c>
      <c r="L17" s="189"/>
      <c r="M17" s="189"/>
    </row>
    <row r="18" spans="1:13" ht="18" customHeight="1" thickBot="1" x14ac:dyDescent="0.2">
      <c r="K18" s="58" t="s">
        <v>1510</v>
      </c>
      <c r="M18" s="137" t="s">
        <v>7</v>
      </c>
    </row>
    <row r="19" spans="1:13" ht="18" customHeight="1" thickBot="1" x14ac:dyDescent="0.2">
      <c r="A19" s="189"/>
      <c r="B19" s="189"/>
      <c r="C19" s="189"/>
      <c r="D19" s="189"/>
      <c r="E19" s="189"/>
      <c r="F19" s="189"/>
      <c r="G19" s="189"/>
      <c r="H19" s="189"/>
      <c r="I19" s="189"/>
      <c r="K19" s="9">
        <v>27</v>
      </c>
      <c r="M19" s="10">
        <f>K19^(1/3)</f>
        <v>2.9999999999999996</v>
      </c>
    </row>
    <row r="20" spans="1:13" x14ac:dyDescent="0.15">
      <c r="K20" s="189"/>
      <c r="L20" s="189"/>
      <c r="M20" s="189"/>
    </row>
    <row r="21" spans="1:13" x14ac:dyDescent="0.15">
      <c r="A21" s="189"/>
      <c r="B21" s="189"/>
      <c r="C21" s="189"/>
      <c r="D21" s="189"/>
      <c r="E21" s="189"/>
      <c r="F21" s="189"/>
      <c r="K21" s="190" t="s">
        <v>1514</v>
      </c>
      <c r="L21" s="189"/>
      <c r="M21" s="189"/>
    </row>
    <row r="22" spans="1:13" ht="18" customHeight="1" thickBot="1" x14ac:dyDescent="0.2">
      <c r="A22" s="189"/>
      <c r="B22" s="189"/>
      <c r="C22" s="189"/>
      <c r="D22" s="189"/>
      <c r="E22" s="189"/>
      <c r="F22" s="189"/>
      <c r="K22" s="58" t="s">
        <v>1511</v>
      </c>
      <c r="M22" s="137" t="s">
        <v>7</v>
      </c>
    </row>
    <row r="23" spans="1:13" ht="14.25" thickBot="1" x14ac:dyDescent="0.2">
      <c r="B23" s="189"/>
      <c r="C23" s="189"/>
      <c r="D23" s="189"/>
      <c r="E23" s="189"/>
      <c r="F23" s="189"/>
      <c r="J23" s="189"/>
      <c r="K23" s="9">
        <v>16</v>
      </c>
      <c r="M23" s="10">
        <f>K23^(1/4)</f>
        <v>2</v>
      </c>
    </row>
    <row r="24" spans="1:13" x14ac:dyDescent="0.15">
      <c r="B24" s="189"/>
      <c r="C24" s="189"/>
      <c r="D24" s="189"/>
      <c r="E24" s="189"/>
      <c r="F24" s="189"/>
      <c r="J24" s="189"/>
    </row>
    <row r="25" spans="1:13" x14ac:dyDescent="0.15">
      <c r="B25" s="189"/>
      <c r="C25" s="189"/>
      <c r="D25" s="189"/>
      <c r="E25" s="189"/>
      <c r="F25" s="189"/>
      <c r="J25" s="189"/>
    </row>
    <row r="26" spans="1:13" ht="18" customHeight="1" x14ac:dyDescent="0.15">
      <c r="B26" s="189"/>
      <c r="C26" s="189"/>
      <c r="D26" s="189"/>
      <c r="E26" s="189"/>
      <c r="F26" s="189"/>
      <c r="J26" s="189"/>
    </row>
  </sheetData>
  <phoneticPr fontId="1"/>
  <pageMargins left="0.7" right="0.7" top="0.75" bottom="0.75" header="0.3" footer="0.3"/>
  <pageSetup paperSize="9" orientation="landscape" horizontalDpi="0"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22"/>
  <sheetViews>
    <sheetView workbookViewId="0">
      <selection activeCell="P1" sqref="P1"/>
    </sheetView>
  </sheetViews>
  <sheetFormatPr defaultRowHeight="13.5" outlineLevelCol="2" x14ac:dyDescent="0.15"/>
  <cols>
    <col min="1" max="1" width="2.625" customWidth="1"/>
    <col min="2" max="2" width="18.625" customWidth="1"/>
    <col min="3" max="3" width="2.625" customWidth="1"/>
    <col min="4" max="4" width="20.625" customWidth="1"/>
    <col min="5" max="5" width="2.625" customWidth="1"/>
    <col min="6" max="6" width="18.625" customWidth="1"/>
    <col min="7" max="7" width="2.625" customWidth="1"/>
    <col min="8" max="8" width="18.625" hidden="1" customWidth="1" outlineLevel="1"/>
    <col min="9" max="9" width="18.625" hidden="1" customWidth="1" outlineLevel="2"/>
    <col min="10" max="10" width="12.75" customWidth="1" collapsed="1"/>
    <col min="12" max="12" width="11.375" customWidth="1"/>
    <col min="16" max="16" width="13.25" customWidth="1"/>
  </cols>
  <sheetData>
    <row r="1" spans="1:16" ht="17.25" x14ac:dyDescent="0.15">
      <c r="A1" s="47"/>
      <c r="B1" s="47"/>
      <c r="C1" s="47"/>
      <c r="D1" s="57" t="s">
        <v>289</v>
      </c>
      <c r="E1" s="47"/>
      <c r="F1" s="47"/>
      <c r="G1" s="52"/>
      <c r="I1" s="47"/>
      <c r="P1" s="222" t="s">
        <v>1650</v>
      </c>
    </row>
    <row r="2" spans="1:16" x14ac:dyDescent="0.15">
      <c r="A2" s="47"/>
      <c r="B2" s="47"/>
      <c r="C2" s="47"/>
      <c r="D2" s="47"/>
      <c r="E2" s="47"/>
      <c r="F2" s="47"/>
      <c r="G2" s="52"/>
      <c r="H2" s="47"/>
      <c r="I2" s="47"/>
    </row>
    <row r="3" spans="1:16" x14ac:dyDescent="0.15">
      <c r="A3" s="47"/>
      <c r="B3" s="59" t="s">
        <v>307</v>
      </c>
      <c r="C3" s="47"/>
      <c r="D3" s="47"/>
      <c r="E3" s="47"/>
      <c r="F3" s="47"/>
      <c r="G3" s="47"/>
      <c r="H3" s="47"/>
      <c r="I3" s="47"/>
    </row>
    <row r="4" spans="1:16" x14ac:dyDescent="0.15">
      <c r="A4" s="47"/>
      <c r="B4" s="71" t="s">
        <v>492</v>
      </c>
      <c r="C4" s="47"/>
      <c r="D4" s="71" t="s">
        <v>493</v>
      </c>
      <c r="E4" s="47"/>
      <c r="F4" s="47"/>
      <c r="G4" s="47"/>
      <c r="I4" s="47"/>
    </row>
    <row r="5" spans="1:16" x14ac:dyDescent="0.15">
      <c r="A5" s="47"/>
      <c r="B5" s="15" t="s">
        <v>287</v>
      </c>
      <c r="C5" s="48"/>
      <c r="D5" s="13" t="s">
        <v>286</v>
      </c>
      <c r="E5" s="48"/>
      <c r="F5" s="15" t="s">
        <v>290</v>
      </c>
      <c r="G5" s="47"/>
      <c r="H5" s="47"/>
      <c r="I5" s="47"/>
    </row>
    <row r="6" spans="1:16" ht="14.25" thickBot="1" x14ac:dyDescent="0.2">
      <c r="A6" s="47"/>
      <c r="B6" s="48" t="s">
        <v>274</v>
      </c>
      <c r="C6" s="48"/>
      <c r="D6" s="48" t="s">
        <v>1</v>
      </c>
      <c r="E6" s="48"/>
      <c r="F6" s="58" t="s">
        <v>288</v>
      </c>
      <c r="G6" s="47"/>
      <c r="H6" s="47"/>
      <c r="I6" s="47"/>
    </row>
    <row r="7" spans="1:16" ht="14.25" thickBot="1" x14ac:dyDescent="0.2">
      <c r="A7" s="47"/>
      <c r="B7" s="75" t="s">
        <v>281</v>
      </c>
      <c r="C7" s="49"/>
      <c r="D7" s="56">
        <v>7532</v>
      </c>
      <c r="E7" s="49"/>
      <c r="F7" s="53" t="str">
        <f>IF(B7="","",VLOOKUP(B7,H7:I18,2,FALSE))</f>
        <v>0001110101101100</v>
      </c>
      <c r="G7" s="54"/>
      <c r="H7" s="294" t="s">
        <v>277</v>
      </c>
      <c r="I7" s="294" t="e">
        <f>BIN2DEC(D7)</f>
        <v>#NUM!</v>
      </c>
    </row>
    <row r="8" spans="1:16" x14ac:dyDescent="0.15">
      <c r="A8" s="47"/>
      <c r="B8" s="47"/>
      <c r="C8" s="47"/>
      <c r="D8" s="48"/>
      <c r="E8" s="47"/>
      <c r="F8" s="47"/>
      <c r="G8" s="52"/>
      <c r="H8" s="294" t="s">
        <v>278</v>
      </c>
      <c r="I8" s="294" t="e">
        <f>BIN2HEX(D7)</f>
        <v>#NUM!</v>
      </c>
    </row>
    <row r="9" spans="1:16" x14ac:dyDescent="0.15">
      <c r="A9" s="47"/>
      <c r="B9" t="s">
        <v>1289</v>
      </c>
      <c r="C9" s="47"/>
      <c r="D9" s="50"/>
      <c r="E9" s="47"/>
      <c r="F9" s="47"/>
      <c r="G9" s="52"/>
      <c r="H9" s="294" t="s">
        <v>291</v>
      </c>
      <c r="I9" s="294" t="e">
        <f>BIN2OCT(D7)</f>
        <v>#NUM!</v>
      </c>
    </row>
    <row r="10" spans="1:16" x14ac:dyDescent="0.15">
      <c r="A10" s="47"/>
      <c r="B10" t="s">
        <v>1342</v>
      </c>
      <c r="C10" s="47"/>
      <c r="D10" s="50"/>
      <c r="E10" s="47"/>
      <c r="F10" s="47"/>
      <c r="G10" s="52"/>
      <c r="H10" s="294" t="s">
        <v>281</v>
      </c>
      <c r="I10" s="294" t="str">
        <f>DEC2BIN(INT(D7/2^8),8)&amp;DEC2BIN(MOD(D7,2^8),8)</f>
        <v>0001110101101100</v>
      </c>
      <c r="K10" t="s">
        <v>1290</v>
      </c>
    </row>
    <row r="11" spans="1:16" x14ac:dyDescent="0.15">
      <c r="A11" s="47"/>
      <c r="B11" s="47" t="s">
        <v>1343</v>
      </c>
      <c r="C11" s="47"/>
      <c r="D11" s="49"/>
      <c r="E11" s="47"/>
      <c r="F11" s="47"/>
      <c r="G11" s="52"/>
      <c r="H11" s="294" t="s">
        <v>275</v>
      </c>
      <c r="I11" s="294" t="str">
        <f>DEC2HEX(D7)</f>
        <v>1D6C</v>
      </c>
    </row>
    <row r="12" spans="1:16" x14ac:dyDescent="0.15">
      <c r="A12" s="47"/>
      <c r="B12" s="47"/>
      <c r="C12" s="47"/>
      <c r="D12" s="47"/>
      <c r="E12" s="47"/>
      <c r="F12" s="47"/>
      <c r="G12" s="52"/>
      <c r="H12" s="294" t="s">
        <v>282</v>
      </c>
      <c r="I12" s="294" t="str">
        <f>DEC2OCT(D7)</f>
        <v>16554</v>
      </c>
    </row>
    <row r="13" spans="1:16" x14ac:dyDescent="0.15">
      <c r="A13" s="51"/>
      <c r="B13" s="51"/>
      <c r="C13" s="51"/>
      <c r="D13" s="51"/>
      <c r="E13" s="51"/>
      <c r="F13" s="51"/>
      <c r="G13" s="55"/>
      <c r="H13" s="294" t="s">
        <v>283</v>
      </c>
      <c r="I13" s="294" t="e">
        <f>HEX2BIN(D7)</f>
        <v>#NUM!</v>
      </c>
    </row>
    <row r="14" spans="1:16" x14ac:dyDescent="0.15">
      <c r="A14" s="51"/>
      <c r="B14" s="51"/>
      <c r="C14" s="51"/>
      <c r="D14" s="51"/>
      <c r="E14" s="51"/>
      <c r="F14" s="51"/>
      <c r="G14" s="55"/>
      <c r="H14" s="294" t="s">
        <v>284</v>
      </c>
      <c r="I14" s="294" t="str">
        <f>HEX2OCT(D7)</f>
        <v>72462</v>
      </c>
    </row>
    <row r="15" spans="1:16" x14ac:dyDescent="0.15">
      <c r="A15" s="51"/>
      <c r="B15" s="51"/>
      <c r="C15" s="51"/>
      <c r="D15" s="51"/>
      <c r="E15" s="51"/>
      <c r="F15" s="51"/>
      <c r="G15" s="55"/>
      <c r="H15" s="294" t="s">
        <v>276</v>
      </c>
      <c r="I15" s="294">
        <f>HEX2DEC(D7)</f>
        <v>30002</v>
      </c>
    </row>
    <row r="16" spans="1:16" x14ac:dyDescent="0.15">
      <c r="A16" s="51"/>
      <c r="B16" s="51"/>
      <c r="C16" s="51"/>
      <c r="D16" s="51"/>
      <c r="E16" s="51"/>
      <c r="F16" s="51"/>
      <c r="G16" s="55"/>
      <c r="H16" s="294" t="s">
        <v>285</v>
      </c>
      <c r="I16" s="294" t="e">
        <f>OCT2BIN(D7)</f>
        <v>#NUM!</v>
      </c>
    </row>
    <row r="17" spans="1:9" x14ac:dyDescent="0.15">
      <c r="A17" s="51"/>
      <c r="B17" s="51"/>
      <c r="C17" s="51"/>
      <c r="D17" s="51"/>
      <c r="E17" s="51"/>
      <c r="F17" s="51"/>
      <c r="G17" s="55"/>
      <c r="H17" s="294" t="s">
        <v>279</v>
      </c>
      <c r="I17" s="294">
        <f>OCT2DEC(D7)</f>
        <v>3930</v>
      </c>
    </row>
    <row r="18" spans="1:9" x14ac:dyDescent="0.15">
      <c r="A18" s="51"/>
      <c r="B18" s="51"/>
      <c r="C18" s="51"/>
      <c r="D18" s="51"/>
      <c r="E18" s="51"/>
      <c r="F18" s="51"/>
      <c r="G18" s="55"/>
      <c r="H18" s="294" t="s">
        <v>280</v>
      </c>
      <c r="I18" s="294" t="str">
        <f>OCT2HEX(D7)</f>
        <v>F5A</v>
      </c>
    </row>
    <row r="54" spans="4:4" ht="15" x14ac:dyDescent="0.15">
      <c r="D54" s="45"/>
    </row>
    <row r="55" spans="4:4" ht="15" thickBot="1" x14ac:dyDescent="0.2">
      <c r="D55" s="46"/>
    </row>
    <row r="56" spans="4:4" ht="15" thickBot="1" x14ac:dyDescent="0.2">
      <c r="D56" s="46"/>
    </row>
    <row r="57" spans="4:4" ht="15" thickBot="1" x14ac:dyDescent="0.2">
      <c r="D57" s="46"/>
    </row>
    <row r="58" spans="4:4" ht="15" thickBot="1" x14ac:dyDescent="0.2">
      <c r="D58" s="46"/>
    </row>
    <row r="59" spans="4:4" ht="15" thickBot="1" x14ac:dyDescent="0.2">
      <c r="D59" s="46"/>
    </row>
    <row r="60" spans="4:4" ht="15" thickBot="1" x14ac:dyDescent="0.2">
      <c r="D60" s="46"/>
    </row>
    <row r="61" spans="4:4" ht="15" thickBot="1" x14ac:dyDescent="0.2">
      <c r="D61" s="46"/>
    </row>
    <row r="62" spans="4:4" ht="15" thickBot="1" x14ac:dyDescent="0.2">
      <c r="D62" s="46"/>
    </row>
    <row r="63" spans="4:4" ht="15" thickBot="1" x14ac:dyDescent="0.2">
      <c r="D63" s="46"/>
    </row>
    <row r="64" spans="4:4" ht="15" thickBot="1" x14ac:dyDescent="0.2">
      <c r="D64" s="46"/>
    </row>
    <row r="65" spans="2:4" ht="15" thickBot="1" x14ac:dyDescent="0.2">
      <c r="B65" s="59"/>
      <c r="D65" s="46"/>
    </row>
    <row r="66" spans="2:4" ht="15" thickBot="1" x14ac:dyDescent="0.2">
      <c r="D66" s="46"/>
    </row>
    <row r="69" spans="2:4" x14ac:dyDescent="0.15">
      <c r="B69" s="12" t="s">
        <v>1291</v>
      </c>
    </row>
    <row r="71" spans="2:4" x14ac:dyDescent="0.15">
      <c r="B71" t="s">
        <v>1293</v>
      </c>
    </row>
    <row r="73" spans="2:4" x14ac:dyDescent="0.15">
      <c r="B73" t="s">
        <v>1292</v>
      </c>
    </row>
    <row r="92" spans="2:2" x14ac:dyDescent="0.15">
      <c r="B92" t="s">
        <v>1294</v>
      </c>
    </row>
    <row r="94" spans="2:2" ht="15.75" x14ac:dyDescent="0.15">
      <c r="B94" t="s">
        <v>1295</v>
      </c>
    </row>
    <row r="104" spans="2:2" x14ac:dyDescent="0.15">
      <c r="B104" t="s">
        <v>1296</v>
      </c>
    </row>
    <row r="106" spans="2:2" ht="16.5" x14ac:dyDescent="0.15">
      <c r="B106" s="153" t="s">
        <v>1297</v>
      </c>
    </row>
    <row r="108" spans="2:2" x14ac:dyDescent="0.15">
      <c r="B108" t="s">
        <v>1298</v>
      </c>
    </row>
    <row r="115" spans="2:2" x14ac:dyDescent="0.15">
      <c r="B115" t="s">
        <v>1299</v>
      </c>
    </row>
    <row r="117" spans="2:2" ht="15.75" x14ac:dyDescent="0.15">
      <c r="B117" t="s">
        <v>1300</v>
      </c>
    </row>
    <row r="119" spans="2:2" x14ac:dyDescent="0.15">
      <c r="B119">
        <f>32+16+8+4+0.5+0.125</f>
        <v>60.625</v>
      </c>
    </row>
    <row r="120" spans="2:2" x14ac:dyDescent="0.15">
      <c r="B120">
        <f>60.625</f>
        <v>60.625</v>
      </c>
    </row>
    <row r="122" spans="2:2" x14ac:dyDescent="0.15">
      <c r="B122" t="s">
        <v>1301</v>
      </c>
    </row>
  </sheetData>
  <phoneticPr fontId="1"/>
  <dataValidations count="1">
    <dataValidation type="list" allowBlank="1" showInputMessage="1" showErrorMessage="1" sqref="B7">
      <formula1>$H$7:$H$18</formula1>
    </dataValidation>
  </dataValidations>
  <pageMargins left="0.7" right="0.7" top="0.75" bottom="0.75" header="0.3" footer="0.3"/>
  <pageSetup paperSize="9" orientation="portrait" horizontalDpi="4294967292" verticalDpi="4294967292"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169"/>
  <sheetViews>
    <sheetView workbookViewId="0">
      <selection activeCell="I1" sqref="I1"/>
    </sheetView>
  </sheetViews>
  <sheetFormatPr defaultRowHeight="13.5" outlineLevelCol="1" x14ac:dyDescent="0.15"/>
  <cols>
    <col min="1" max="1" width="4.625" customWidth="1"/>
    <col min="2" max="2" width="15.5" customWidth="1"/>
    <col min="3" max="3" width="27.625" customWidth="1"/>
    <col min="4" max="4" width="1.375" customWidth="1"/>
    <col min="5" max="5" width="15.625" customWidth="1"/>
    <col min="6" max="6" width="3.625" customWidth="1"/>
    <col min="7" max="7" width="27.625" customWidth="1"/>
    <col min="8" max="8" width="3.625" customWidth="1"/>
    <col min="9" max="9" width="15.625" customWidth="1"/>
    <col min="10" max="10" width="4.25" customWidth="1"/>
    <col min="11" max="11" width="18.625" hidden="1" customWidth="1" outlineLevel="1"/>
    <col min="12" max="26" width="13.625" hidden="1" customWidth="1" outlineLevel="1"/>
    <col min="27" max="27" width="9" collapsed="1"/>
    <col min="29" max="44" width="13.625" customWidth="1"/>
  </cols>
  <sheetData>
    <row r="1" spans="1:44" ht="17.25" x14ac:dyDescent="0.15">
      <c r="C1" s="227" t="s">
        <v>540</v>
      </c>
      <c r="D1" s="231"/>
      <c r="E1" s="231"/>
      <c r="F1" s="231"/>
      <c r="G1" s="231"/>
      <c r="H1" s="231"/>
      <c r="I1" s="13" t="s">
        <v>1650</v>
      </c>
      <c r="J1" s="88"/>
    </row>
    <row r="2" spans="1:44" x14ac:dyDescent="0.15">
      <c r="C2" s="2"/>
    </row>
    <row r="3" spans="1:44" x14ac:dyDescent="0.15">
      <c r="C3" s="13" t="s">
        <v>321</v>
      </c>
      <c r="D3" s="13"/>
      <c r="E3" s="13" t="s">
        <v>324</v>
      </c>
      <c r="F3" s="13"/>
      <c r="G3" s="13" t="s">
        <v>322</v>
      </c>
      <c r="H3" s="13"/>
      <c r="I3" s="13" t="s">
        <v>325</v>
      </c>
    </row>
    <row r="4" spans="1:44" x14ac:dyDescent="0.15">
      <c r="C4" s="2" t="s">
        <v>327</v>
      </c>
      <c r="D4" s="2"/>
      <c r="E4" s="2" t="s">
        <v>327</v>
      </c>
      <c r="F4" s="2"/>
      <c r="G4" s="2" t="s">
        <v>327</v>
      </c>
      <c r="H4" s="2"/>
      <c r="I4" s="2" t="s">
        <v>327</v>
      </c>
      <c r="K4" s="2"/>
      <c r="L4" s="2"/>
    </row>
    <row r="5" spans="1:44" ht="14.25" thickBot="1" x14ac:dyDescent="0.2">
      <c r="C5" s="2"/>
      <c r="D5" s="2"/>
      <c r="E5" s="71" t="s">
        <v>323</v>
      </c>
      <c r="F5" s="2"/>
      <c r="G5" s="2"/>
      <c r="H5" s="2"/>
      <c r="I5" s="2"/>
      <c r="K5" s="74"/>
      <c r="L5" s="74" t="s">
        <v>293</v>
      </c>
      <c r="M5" s="74" t="s">
        <v>308</v>
      </c>
      <c r="N5" s="74" t="s">
        <v>294</v>
      </c>
      <c r="O5" s="74" t="s">
        <v>295</v>
      </c>
      <c r="P5" s="74" t="s">
        <v>296</v>
      </c>
      <c r="Q5" s="74" t="s">
        <v>297</v>
      </c>
      <c r="R5" s="74" t="s">
        <v>306</v>
      </c>
      <c r="S5" s="74" t="s">
        <v>298</v>
      </c>
      <c r="T5" s="74" t="s">
        <v>299</v>
      </c>
      <c r="U5" s="74" t="s">
        <v>300</v>
      </c>
      <c r="V5" s="74" t="s">
        <v>301</v>
      </c>
      <c r="W5" s="74" t="s">
        <v>302</v>
      </c>
      <c r="X5" s="74" t="s">
        <v>309</v>
      </c>
      <c r="Y5" s="74" t="s">
        <v>304</v>
      </c>
      <c r="Z5" s="74" t="s">
        <v>305</v>
      </c>
      <c r="AD5" s="2"/>
      <c r="AE5" s="2"/>
      <c r="AF5" s="2"/>
      <c r="AG5" s="2"/>
      <c r="AH5" s="2"/>
      <c r="AI5" s="2"/>
      <c r="AJ5" s="2"/>
      <c r="AK5" s="2"/>
      <c r="AL5" s="2"/>
      <c r="AM5" s="2"/>
      <c r="AN5" s="2"/>
      <c r="AO5" s="2"/>
      <c r="AP5" s="2"/>
      <c r="AQ5" s="2"/>
      <c r="AR5" s="2"/>
    </row>
    <row r="6" spans="1:44" ht="14.25" thickBot="1" x14ac:dyDescent="0.2">
      <c r="A6" s="71">
        <v>1</v>
      </c>
      <c r="B6" t="s">
        <v>590</v>
      </c>
      <c r="C6" s="76" t="s">
        <v>613</v>
      </c>
      <c r="D6" s="63">
        <f>INDEX(L6:Z20,MATCH(C6,K6:K20,0),MATCH(G6,L5:Z5,0))</f>
        <v>1609.3</v>
      </c>
      <c r="E6" s="60">
        <v>1</v>
      </c>
      <c r="G6" s="76" t="s">
        <v>310</v>
      </c>
      <c r="I6" s="66">
        <f>D6*E6</f>
        <v>1609.3</v>
      </c>
      <c r="K6" s="292" t="s">
        <v>293</v>
      </c>
      <c r="L6" s="293">
        <v>1</v>
      </c>
      <c r="M6" s="293">
        <v>10000000000</v>
      </c>
      <c r="N6" s="293">
        <v>39.370078740157503</v>
      </c>
      <c r="O6" s="293">
        <v>3.2808398950131199</v>
      </c>
      <c r="P6" s="293">
        <v>1.09361329833771</v>
      </c>
      <c r="Q6" s="293">
        <v>6.2138818119679396E-4</v>
      </c>
      <c r="R6" s="293">
        <v>4.9701789264413501E-2</v>
      </c>
      <c r="S6" s="293">
        <v>5.3995680345572401E-4</v>
      </c>
      <c r="T6" s="293">
        <v>6.68458715354704E-12</v>
      </c>
      <c r="U6" s="293">
        <v>3.2407557442395597E-17</v>
      </c>
      <c r="V6" s="293">
        <v>33.000033000033</v>
      </c>
      <c r="W6" s="293">
        <v>3.3000033000033002</v>
      </c>
      <c r="X6" s="293">
        <v>0.54999450005499895</v>
      </c>
      <c r="Y6" s="293">
        <v>9.1667430561921306E-3</v>
      </c>
      <c r="Z6" s="293">
        <v>2.5462786138059202E-4</v>
      </c>
      <c r="AE6" s="61"/>
      <c r="AL6" s="61"/>
      <c r="AM6" s="61"/>
    </row>
    <row r="7" spans="1:44" ht="14.25" thickBot="1" x14ac:dyDescent="0.2">
      <c r="A7" s="71"/>
      <c r="K7" s="292" t="s">
        <v>308</v>
      </c>
      <c r="L7" s="293">
        <v>1E-10</v>
      </c>
      <c r="M7" s="293">
        <v>1</v>
      </c>
      <c r="N7" s="293">
        <v>3.9370078740157498E-9</v>
      </c>
      <c r="O7" s="293">
        <v>3.28083989501312E-10</v>
      </c>
      <c r="P7" s="293">
        <v>1.09361329833771E-10</v>
      </c>
      <c r="Q7" s="293">
        <v>6.21388181196794E-14</v>
      </c>
      <c r="R7" s="293">
        <v>4.97017892644135E-12</v>
      </c>
      <c r="S7" s="293">
        <v>5.3995680345572402E-14</v>
      </c>
      <c r="T7" s="293">
        <v>6.6845871535470399E-22</v>
      </c>
      <c r="U7" s="293">
        <v>3.2407557442395596E-27</v>
      </c>
      <c r="V7" s="293">
        <v>3.3000033000033E-9</v>
      </c>
      <c r="W7" s="293">
        <v>3.3000033000033001E-10</v>
      </c>
      <c r="X7" s="293">
        <v>5.4999450005499901E-11</v>
      </c>
      <c r="Y7" s="293">
        <v>9.1667430561921302E-13</v>
      </c>
      <c r="Z7" s="293">
        <v>2.54627861380592E-14</v>
      </c>
      <c r="AC7" s="62"/>
      <c r="AI7" s="61"/>
      <c r="AJ7" s="61"/>
      <c r="AK7" s="61"/>
      <c r="AL7" s="61"/>
      <c r="AM7" s="61"/>
      <c r="AQ7" s="61"/>
      <c r="AR7" s="61"/>
    </row>
    <row r="8" spans="1:44" ht="14.25" thickBot="1" x14ac:dyDescent="0.2">
      <c r="A8" s="71">
        <v>2</v>
      </c>
      <c r="B8" t="s">
        <v>591</v>
      </c>
      <c r="C8" s="76" t="s">
        <v>313</v>
      </c>
      <c r="D8">
        <f>INDEX(L24:M25,MATCH(C8,K24:K25,0),MATCH(G8,L23:M23,0))</f>
        <v>1.7453291999999999E-2</v>
      </c>
      <c r="E8" s="60">
        <v>180</v>
      </c>
      <c r="G8" s="76" t="s">
        <v>311</v>
      </c>
      <c r="I8" s="66">
        <f>D8*E8</f>
        <v>3.1415925599999999</v>
      </c>
      <c r="K8" s="292" t="s">
        <v>294</v>
      </c>
      <c r="L8" s="293">
        <v>2.5399999999999999E-2</v>
      </c>
      <c r="M8" s="293">
        <v>254000000</v>
      </c>
      <c r="N8" s="293">
        <v>1</v>
      </c>
      <c r="O8" s="293">
        <v>8.3333333333333301E-2</v>
      </c>
      <c r="P8" s="293">
        <v>2.7777777777777801E-2</v>
      </c>
      <c r="Q8" s="293">
        <v>1.57832598023986E-5</v>
      </c>
      <c r="R8" s="293">
        <v>1.2624254473160999E-3</v>
      </c>
      <c r="S8" s="293">
        <v>1.37149028077754E-5</v>
      </c>
      <c r="T8" s="293">
        <v>1.69788513700095E-13</v>
      </c>
      <c r="U8" s="293">
        <v>8.2315195903684704E-19</v>
      </c>
      <c r="V8" s="293">
        <v>0.83820083820083802</v>
      </c>
      <c r="W8" s="293">
        <v>8.3820083820083796E-2</v>
      </c>
      <c r="X8" s="293">
        <v>1.3969860301397E-2</v>
      </c>
      <c r="Y8" s="293">
        <v>2.3283527362727999E-4</v>
      </c>
      <c r="Z8" s="293">
        <v>6.4675476790670403E-6</v>
      </c>
      <c r="AE8" s="61"/>
      <c r="AL8" s="61"/>
      <c r="AM8" s="61"/>
    </row>
    <row r="9" spans="1:44" ht="14.25" thickBot="1" x14ac:dyDescent="0.2">
      <c r="A9" s="71"/>
      <c r="K9" s="292" t="s">
        <v>295</v>
      </c>
      <c r="L9" s="293">
        <v>0.30480000000000002</v>
      </c>
      <c r="M9" s="293">
        <v>3048000000</v>
      </c>
      <c r="N9" s="293">
        <v>12</v>
      </c>
      <c r="O9" s="293">
        <v>1</v>
      </c>
      <c r="P9" s="293">
        <v>0.33333333333333298</v>
      </c>
      <c r="Q9" s="293">
        <v>1.89399117628783E-4</v>
      </c>
      <c r="R9" s="293">
        <v>1.51491053677932E-2</v>
      </c>
      <c r="S9" s="293">
        <v>1.6457883369330501E-4</v>
      </c>
      <c r="T9" s="293">
        <v>2.0374621644011399E-12</v>
      </c>
      <c r="U9" s="293">
        <v>9.8778235084421706E-18</v>
      </c>
      <c r="V9" s="293">
        <v>10.0584100584101</v>
      </c>
      <c r="W9" s="293">
        <v>1.0058410058410101</v>
      </c>
      <c r="X9" s="293">
        <v>0.16763832361676401</v>
      </c>
      <c r="Y9" s="293">
        <v>2.7940232835273601E-3</v>
      </c>
      <c r="Z9" s="293">
        <v>7.76105721488045E-5</v>
      </c>
      <c r="AE9" s="61"/>
      <c r="AL9" s="61"/>
      <c r="AM9" s="61"/>
    </row>
    <row r="10" spans="1:44" ht="14.25" thickBot="1" x14ac:dyDescent="0.2">
      <c r="A10" s="71">
        <v>3</v>
      </c>
      <c r="B10" t="s">
        <v>592</v>
      </c>
      <c r="C10" s="76" t="s">
        <v>314</v>
      </c>
      <c r="D10" s="2">
        <f>INDEX(L29:R35,MATCH(C10,K29:K35,0),MATCH(G10,L28:R28,0))</f>
        <v>1E-4</v>
      </c>
      <c r="E10" s="67">
        <v>1</v>
      </c>
      <c r="F10" s="2"/>
      <c r="G10" s="76" t="s">
        <v>326</v>
      </c>
      <c r="I10" s="66">
        <f>D10*E10</f>
        <v>1E-4</v>
      </c>
      <c r="K10" s="292" t="s">
        <v>296</v>
      </c>
      <c r="L10" s="293">
        <v>0.91439999999999999</v>
      </c>
      <c r="M10" s="293">
        <v>9144000000</v>
      </c>
      <c r="N10" s="293">
        <v>36</v>
      </c>
      <c r="O10" s="293">
        <v>3</v>
      </c>
      <c r="P10" s="293">
        <v>1</v>
      </c>
      <c r="Q10" s="293">
        <v>5.6819735288634796E-4</v>
      </c>
      <c r="R10" s="293">
        <v>4.5447316103379702E-2</v>
      </c>
      <c r="S10" s="293">
        <v>4.9373650107991404E-4</v>
      </c>
      <c r="T10" s="293">
        <v>6.1123864932034099E-12</v>
      </c>
      <c r="U10" s="293">
        <v>2.9633470525326498E-17</v>
      </c>
      <c r="V10" s="293">
        <v>30.175230175230201</v>
      </c>
      <c r="W10" s="293">
        <v>3.0175230175230201</v>
      </c>
      <c r="X10" s="293">
        <v>0.50291497085029102</v>
      </c>
      <c r="Y10" s="293">
        <v>8.3820698505820898E-3</v>
      </c>
      <c r="Z10" s="293">
        <v>2.3283171644641399E-4</v>
      </c>
      <c r="AE10" s="61"/>
      <c r="AL10" s="61"/>
      <c r="AM10" s="61"/>
    </row>
    <row r="11" spans="1:44" ht="14.25" thickBot="1" x14ac:dyDescent="0.2">
      <c r="A11" s="71"/>
      <c r="C11" s="2"/>
      <c r="D11" s="2"/>
      <c r="E11" s="2"/>
      <c r="F11" s="2"/>
      <c r="G11" s="2"/>
      <c r="H11" s="2"/>
      <c r="I11" s="2"/>
      <c r="K11" s="292" t="s">
        <v>297</v>
      </c>
      <c r="L11" s="293">
        <v>1609.3</v>
      </c>
      <c r="M11" s="293">
        <v>16093000000000</v>
      </c>
      <c r="N11" s="293">
        <v>63358.267716535403</v>
      </c>
      <c r="O11" s="293">
        <v>5279.8556430446197</v>
      </c>
      <c r="P11" s="293">
        <v>1759.95188101487</v>
      </c>
      <c r="Q11" s="293">
        <v>1</v>
      </c>
      <c r="R11" s="293">
        <v>79.985089463220703</v>
      </c>
      <c r="S11" s="293">
        <v>0.86895248380129597</v>
      </c>
      <c r="T11" s="293">
        <v>1.07575061062032E-8</v>
      </c>
      <c r="U11" s="293">
        <v>5.2153482192047198E-14</v>
      </c>
      <c r="V11" s="293">
        <v>53106.9531069531</v>
      </c>
      <c r="W11" s="293">
        <v>5310.6953106953097</v>
      </c>
      <c r="X11" s="293">
        <v>885.10614893851096</v>
      </c>
      <c r="Y11" s="293">
        <v>14.752039600330001</v>
      </c>
      <c r="Z11" s="293">
        <v>0.40977261731978698</v>
      </c>
      <c r="AE11" s="61"/>
      <c r="AF11" s="61"/>
      <c r="AM11" s="61"/>
      <c r="AN11" s="61"/>
    </row>
    <row r="12" spans="1:44" ht="14.25" thickBot="1" x14ac:dyDescent="0.2">
      <c r="A12" s="71">
        <v>4</v>
      </c>
      <c r="B12" t="s">
        <v>593</v>
      </c>
      <c r="C12" s="76" t="s">
        <v>328</v>
      </c>
      <c r="D12" s="2">
        <f>INDEX(L39:S46,MATCH(C12,K39:K47,0),MATCH(G12,L38:S38,0))</f>
        <v>1000</v>
      </c>
      <c r="E12" s="67">
        <v>1</v>
      </c>
      <c r="F12" s="2"/>
      <c r="G12" s="76" t="s">
        <v>329</v>
      </c>
      <c r="I12" s="10">
        <f>D12*E12</f>
        <v>1000</v>
      </c>
      <c r="K12" s="292" t="s">
        <v>306</v>
      </c>
      <c r="L12" s="293">
        <v>20.12</v>
      </c>
      <c r="M12" s="293">
        <v>201200000000</v>
      </c>
      <c r="N12" s="293">
        <v>792.12598425196904</v>
      </c>
      <c r="O12" s="293">
        <v>66.010498687663997</v>
      </c>
      <c r="P12" s="293">
        <v>22.003499562554701</v>
      </c>
      <c r="Q12" s="293">
        <v>1.25023302056795E-2</v>
      </c>
      <c r="R12" s="293">
        <v>1</v>
      </c>
      <c r="S12" s="293">
        <v>1.0863930885529199E-2</v>
      </c>
      <c r="T12" s="293">
        <v>1.34493893529366E-10</v>
      </c>
      <c r="U12" s="293">
        <v>6.5204005574099897E-16</v>
      </c>
      <c r="V12" s="293">
        <v>663.96066396066396</v>
      </c>
      <c r="W12" s="293">
        <v>66.396066396066402</v>
      </c>
      <c r="X12" s="293">
        <v>11.065889341106599</v>
      </c>
      <c r="Y12" s="293">
        <v>0.184434870290586</v>
      </c>
      <c r="Z12" s="293">
        <v>5.1231125709775196E-3</v>
      </c>
      <c r="AE12" s="61"/>
      <c r="AM12" s="61"/>
    </row>
    <row r="13" spans="1:44" ht="14.25" thickBot="1" x14ac:dyDescent="0.2">
      <c r="A13" s="71"/>
      <c r="C13" s="2"/>
      <c r="D13" s="2"/>
      <c r="E13" s="2"/>
      <c r="F13" s="2"/>
      <c r="G13" s="2"/>
      <c r="K13" s="292" t="s">
        <v>298</v>
      </c>
      <c r="L13" s="293">
        <v>1852</v>
      </c>
      <c r="M13" s="293">
        <v>18520000000000</v>
      </c>
      <c r="N13" s="293">
        <v>72913.385826771701</v>
      </c>
      <c r="O13" s="293">
        <v>6076.1154855642999</v>
      </c>
      <c r="P13" s="293">
        <v>2025.37182852143</v>
      </c>
      <c r="Q13" s="293">
        <v>1.15081091157646</v>
      </c>
      <c r="R13" s="293">
        <v>92.047713717693796</v>
      </c>
      <c r="S13" s="293">
        <v>1</v>
      </c>
      <c r="T13" s="293">
        <v>1.23798554083691E-8</v>
      </c>
      <c r="U13" s="293">
        <v>6.0018796383316597E-14</v>
      </c>
      <c r="V13" s="293">
        <v>61116.061116061101</v>
      </c>
      <c r="W13" s="293">
        <v>6111.6061116061101</v>
      </c>
      <c r="X13" s="293">
        <v>1018.58981410186</v>
      </c>
      <c r="Y13" s="293">
        <v>16.976808140067799</v>
      </c>
      <c r="Z13" s="293">
        <v>0.47157079927685702</v>
      </c>
      <c r="AE13" s="61"/>
      <c r="AF13" s="61"/>
      <c r="AM13" s="61"/>
      <c r="AN13" s="61"/>
    </row>
    <row r="14" spans="1:44" ht="14.25" thickBot="1" x14ac:dyDescent="0.2">
      <c r="A14" s="71">
        <v>5</v>
      </c>
      <c r="B14" t="s">
        <v>594</v>
      </c>
      <c r="C14" s="76" t="s">
        <v>339</v>
      </c>
      <c r="D14" s="2">
        <f>INDEX(L50:P54,MATCH(C14,K50:K54,0),MATCH(G14,L49:P49,0))</f>
        <v>3600</v>
      </c>
      <c r="E14" s="67">
        <v>1</v>
      </c>
      <c r="F14" s="2"/>
      <c r="G14" s="76" t="s">
        <v>337</v>
      </c>
      <c r="I14" s="10">
        <f>D14*E14</f>
        <v>3600</v>
      </c>
      <c r="K14" s="292" t="s">
        <v>299</v>
      </c>
      <c r="L14" s="293">
        <v>149597870000</v>
      </c>
      <c r="M14" s="293">
        <v>1.4959787E+21</v>
      </c>
      <c r="N14" s="293">
        <v>5889679921259.8398</v>
      </c>
      <c r="O14" s="293">
        <v>490806660104.987</v>
      </c>
      <c r="P14" s="293">
        <v>163602220034.996</v>
      </c>
      <c r="Q14" s="293">
        <v>92958348.350214407</v>
      </c>
      <c r="R14" s="293">
        <v>7435281809.1451302</v>
      </c>
      <c r="S14" s="293">
        <v>80776387.688984901</v>
      </c>
      <c r="T14" s="293">
        <v>1</v>
      </c>
      <c r="U14" s="293">
        <v>4.8481015652850197E-6</v>
      </c>
      <c r="V14" s="293">
        <v>4936734646734.6504</v>
      </c>
      <c r="W14" s="293">
        <v>493673464673.46503</v>
      </c>
      <c r="X14" s="293">
        <v>82278005719.942795</v>
      </c>
      <c r="Y14" s="293">
        <v>1371325236.0436299</v>
      </c>
      <c r="Z14" s="293">
        <v>38091785.705191903</v>
      </c>
      <c r="AD14" s="61"/>
      <c r="AE14" s="61"/>
      <c r="AF14" s="61"/>
      <c r="AG14" s="61"/>
      <c r="AH14" s="61"/>
      <c r="AI14" s="61"/>
      <c r="AJ14" s="61"/>
      <c r="AK14" s="61"/>
      <c r="AM14" s="61"/>
      <c r="AN14" s="61"/>
      <c r="AO14" s="61"/>
      <c r="AP14" s="61"/>
      <c r="AQ14" s="61"/>
      <c r="AR14" s="61"/>
    </row>
    <row r="15" spans="1:44" ht="14.25" thickBot="1" x14ac:dyDescent="0.2">
      <c r="A15" s="71"/>
      <c r="C15" s="2"/>
      <c r="D15" s="2"/>
      <c r="E15" s="2"/>
      <c r="F15" s="2"/>
      <c r="G15" s="2"/>
      <c r="K15" s="292" t="s">
        <v>300</v>
      </c>
      <c r="L15" s="293">
        <v>3.0857E+16</v>
      </c>
      <c r="M15" s="293">
        <v>3.0857E+26</v>
      </c>
      <c r="N15" s="293">
        <v>1.2148425196850401E+18</v>
      </c>
      <c r="O15" s="293">
        <v>1.0123687664042E+17</v>
      </c>
      <c r="P15" s="293">
        <v>3.37456255468066E+16</v>
      </c>
      <c r="Q15" s="293">
        <v>19174175107189.5</v>
      </c>
      <c r="R15" s="293">
        <v>1533648111332010</v>
      </c>
      <c r="S15" s="293">
        <v>16661447084233.301</v>
      </c>
      <c r="T15" s="293">
        <v>206266.305797001</v>
      </c>
      <c r="U15" s="293">
        <v>1</v>
      </c>
      <c r="V15" s="293">
        <v>1.01828201828202E+18</v>
      </c>
      <c r="W15" s="293">
        <v>1.01828201828202E+17</v>
      </c>
      <c r="X15" s="293">
        <v>1.69711802881971E+16</v>
      </c>
      <c r="Y15" s="293">
        <v>282858190484921</v>
      </c>
      <c r="Z15" s="293">
        <v>7857051918620.9404</v>
      </c>
      <c r="AD15" s="61"/>
      <c r="AE15" s="61"/>
      <c r="AF15" s="61"/>
      <c r="AG15" s="61"/>
      <c r="AH15" s="61"/>
      <c r="AI15" s="61"/>
      <c r="AJ15" s="61"/>
      <c r="AK15" s="61"/>
      <c r="AL15" s="61"/>
      <c r="AN15" s="61"/>
      <c r="AO15" s="61"/>
      <c r="AP15" s="61"/>
      <c r="AQ15" s="61"/>
      <c r="AR15" s="61"/>
    </row>
    <row r="16" spans="1:44" ht="14.25" thickBot="1" x14ac:dyDescent="0.2">
      <c r="A16" s="71">
        <v>6</v>
      </c>
      <c r="B16" t="s">
        <v>595</v>
      </c>
      <c r="C16" s="76" t="s">
        <v>342</v>
      </c>
      <c r="D16" s="2">
        <f>INDEX(L58:N60,MATCH(C16,K58:K60,0),MATCH(G16,L57:N57,0))</f>
        <v>1.9438445092340799</v>
      </c>
      <c r="E16" s="67">
        <v>1</v>
      </c>
      <c r="F16" s="2"/>
      <c r="G16" s="76" t="s">
        <v>343</v>
      </c>
      <c r="I16" s="10">
        <f>D16*E16</f>
        <v>1.9438445092340799</v>
      </c>
      <c r="K16" s="292" t="s">
        <v>301</v>
      </c>
      <c r="L16" s="293">
        <v>3.0303E-2</v>
      </c>
      <c r="M16" s="293">
        <v>303030000</v>
      </c>
      <c r="N16" s="293">
        <v>1.19303149606299</v>
      </c>
      <c r="O16" s="293">
        <v>9.9419291338582697E-2</v>
      </c>
      <c r="P16" s="293">
        <v>3.3139763779527598E-2</v>
      </c>
      <c r="Q16" s="293">
        <v>1.8829926054806401E-5</v>
      </c>
      <c r="R16" s="293">
        <v>1.5061133200795201E-3</v>
      </c>
      <c r="S16" s="293">
        <v>1.63623110151188E-5</v>
      </c>
      <c r="T16" s="293">
        <v>2.0256304451393599E-13</v>
      </c>
      <c r="U16" s="293">
        <v>9.82046213176913E-19</v>
      </c>
      <c r="V16" s="293">
        <v>1</v>
      </c>
      <c r="W16" s="293">
        <v>0.1</v>
      </c>
      <c r="X16" s="293">
        <v>1.6666483335166599E-2</v>
      </c>
      <c r="Y16" s="293">
        <v>2.7777981483179001E-4</v>
      </c>
      <c r="Z16" s="293">
        <v>7.7159880834160901E-6</v>
      </c>
      <c r="AE16" s="61"/>
      <c r="AF16" s="61"/>
      <c r="AL16" s="61"/>
      <c r="AM16" s="61"/>
    </row>
    <row r="17" spans="1:42" ht="14.25" thickBot="1" x14ac:dyDescent="0.2">
      <c r="A17" s="71"/>
      <c r="C17" s="2"/>
      <c r="D17" s="2"/>
      <c r="E17" s="2"/>
      <c r="F17" s="2"/>
      <c r="G17" s="2"/>
      <c r="K17" s="292" t="s">
        <v>302</v>
      </c>
      <c r="L17" s="293">
        <v>0.30303000000000002</v>
      </c>
      <c r="M17" s="293">
        <v>3030300000</v>
      </c>
      <c r="N17" s="293">
        <v>11.9303149606299</v>
      </c>
      <c r="O17" s="293">
        <v>0.99419291338582705</v>
      </c>
      <c r="P17" s="293">
        <v>0.33139763779527598</v>
      </c>
      <c r="Q17" s="293">
        <v>1.8829926054806401E-4</v>
      </c>
      <c r="R17" s="293">
        <v>1.5061133200795201E-2</v>
      </c>
      <c r="S17" s="293">
        <v>1.63623110151188E-4</v>
      </c>
      <c r="T17" s="293">
        <v>2.0256304451393599E-12</v>
      </c>
      <c r="U17" s="293">
        <v>9.8204621317691296E-18</v>
      </c>
      <c r="V17" s="293">
        <v>10</v>
      </c>
      <c r="W17" s="293">
        <v>1</v>
      </c>
      <c r="X17" s="293">
        <v>0.16666483335166599</v>
      </c>
      <c r="Y17" s="293">
        <v>2.7777981483178998E-3</v>
      </c>
      <c r="Z17" s="293">
        <v>7.7159880834160897E-5</v>
      </c>
      <c r="AE17" s="61"/>
      <c r="AF17" s="61"/>
      <c r="AL17" s="61"/>
      <c r="AM17" s="61"/>
      <c r="AN17" s="61"/>
    </row>
    <row r="18" spans="1:42" ht="14.25" thickBot="1" x14ac:dyDescent="0.2">
      <c r="A18" s="71">
        <v>7</v>
      </c>
      <c r="B18" t="s">
        <v>596</v>
      </c>
      <c r="C18" s="76" t="s">
        <v>349</v>
      </c>
      <c r="D18" s="2">
        <f>INDEX(L64:N66,MATCH(C18,K64:K66,0),MATCH(G18,L63:N63,0))</f>
        <v>100</v>
      </c>
      <c r="E18" s="67">
        <v>1</v>
      </c>
      <c r="F18" s="2"/>
      <c r="G18" s="76" t="s">
        <v>346</v>
      </c>
      <c r="I18" s="10">
        <f>D18*E18</f>
        <v>100</v>
      </c>
      <c r="K18" s="292" t="s">
        <v>303</v>
      </c>
      <c r="L18" s="293">
        <v>1.8182</v>
      </c>
      <c r="M18" s="293">
        <v>18182000000</v>
      </c>
      <c r="N18" s="293">
        <v>71.582677165354298</v>
      </c>
      <c r="O18" s="293">
        <v>5.9652230971128599</v>
      </c>
      <c r="P18" s="293">
        <v>1.98840769903762</v>
      </c>
      <c r="Q18" s="293">
        <v>1.12980799105201E-3</v>
      </c>
      <c r="R18" s="293">
        <v>9.0367793240556701E-2</v>
      </c>
      <c r="S18" s="293">
        <v>9.8174946004319697E-4</v>
      </c>
      <c r="T18" s="293">
        <v>1.2153916362579199E-11</v>
      </c>
      <c r="U18" s="293">
        <v>5.89234209417636E-17</v>
      </c>
      <c r="V18" s="293">
        <v>60.000660000659998</v>
      </c>
      <c r="W18" s="293">
        <v>6.000066000066</v>
      </c>
      <c r="X18" s="293">
        <v>1</v>
      </c>
      <c r="Y18" s="293">
        <v>1.6666972224768501E-2</v>
      </c>
      <c r="Z18" s="293">
        <v>4.62964377562193E-4</v>
      </c>
      <c r="AE18" s="61"/>
      <c r="AF18" s="61"/>
      <c r="AM18" s="61"/>
      <c r="AN18" s="61"/>
    </row>
    <row r="19" spans="1:42" ht="14.25" thickBot="1" x14ac:dyDescent="0.2">
      <c r="A19" s="71"/>
      <c r="C19" s="2"/>
      <c r="D19" s="2"/>
      <c r="E19" s="2"/>
      <c r="F19" s="2"/>
      <c r="G19" s="2"/>
      <c r="K19" s="292" t="s">
        <v>304</v>
      </c>
      <c r="L19" s="293">
        <v>109.09</v>
      </c>
      <c r="M19" s="293">
        <v>1090900000000</v>
      </c>
      <c r="N19" s="293">
        <v>4294.8818897637802</v>
      </c>
      <c r="O19" s="293">
        <v>357.90682414698199</v>
      </c>
      <c r="P19" s="293">
        <v>119.302274715661</v>
      </c>
      <c r="Q19" s="293">
        <v>6.7787236686758207E-2</v>
      </c>
      <c r="R19" s="293">
        <v>5.4219681908548703</v>
      </c>
      <c r="S19" s="293">
        <v>5.8903887688984899E-2</v>
      </c>
      <c r="T19" s="293">
        <v>7.2922161258044599E-10</v>
      </c>
      <c r="U19" s="293">
        <v>3.5353404413909301E-15</v>
      </c>
      <c r="V19" s="293">
        <v>3599.9735999735999</v>
      </c>
      <c r="W19" s="293">
        <v>359.99735999735998</v>
      </c>
      <c r="X19" s="293">
        <v>59.998900010999897</v>
      </c>
      <c r="Y19" s="293">
        <v>1</v>
      </c>
      <c r="Z19" s="293">
        <v>2.7777353398008801E-2</v>
      </c>
      <c r="AE19" s="61"/>
      <c r="AF19" s="61"/>
      <c r="AM19" s="61"/>
      <c r="AN19" s="61"/>
    </row>
    <row r="20" spans="1:42" ht="14.25" thickBot="1" x14ac:dyDescent="0.2">
      <c r="A20" s="71">
        <v>8</v>
      </c>
      <c r="B20" t="s">
        <v>597</v>
      </c>
      <c r="C20" s="76" t="s">
        <v>350</v>
      </c>
      <c r="D20" s="2">
        <f>INDEX(L70:R76,MATCH(C20,K70:K76,0),MATCH(G20,L69:R69,0))</f>
        <v>1E-3</v>
      </c>
      <c r="E20" s="67">
        <v>1</v>
      </c>
      <c r="F20" s="2"/>
      <c r="G20" s="76" t="s">
        <v>352</v>
      </c>
      <c r="I20" s="10">
        <f>D20*E20</f>
        <v>1E-3</v>
      </c>
      <c r="K20" s="292" t="s">
        <v>305</v>
      </c>
      <c r="L20" s="293">
        <v>3927.3</v>
      </c>
      <c r="M20" s="293">
        <v>39273000000000</v>
      </c>
      <c r="N20" s="293">
        <v>154618.11023622099</v>
      </c>
      <c r="O20" s="293">
        <v>12884.842519685</v>
      </c>
      <c r="P20" s="293">
        <v>4294.9475065616798</v>
      </c>
      <c r="Q20" s="293">
        <v>2.4403778040141701</v>
      </c>
      <c r="R20" s="293">
        <v>195.193836978131</v>
      </c>
      <c r="S20" s="293">
        <v>2.1205723542116601</v>
      </c>
      <c r="T20" s="293">
        <v>2.6252379128125301E-8</v>
      </c>
      <c r="U20" s="293">
        <v>1.2727420034351999E-13</v>
      </c>
      <c r="V20" s="293">
        <v>129601.02960102999</v>
      </c>
      <c r="W20" s="293">
        <v>12960.102960103</v>
      </c>
      <c r="X20" s="293">
        <v>2159.993400066</v>
      </c>
      <c r="Y20" s="293">
        <v>36.000550004583403</v>
      </c>
      <c r="Z20" s="293">
        <v>1</v>
      </c>
      <c r="AE20" s="61"/>
      <c r="AF20" s="61"/>
      <c r="AG20" s="61"/>
      <c r="AH20" s="61"/>
      <c r="AI20" s="61"/>
      <c r="AJ20" s="61"/>
      <c r="AK20" s="61"/>
      <c r="AL20" s="61"/>
      <c r="AM20" s="61"/>
      <c r="AN20" s="61"/>
      <c r="AO20" s="61"/>
      <c r="AP20" s="61"/>
    </row>
    <row r="21" spans="1:42" ht="14.25" thickBot="1" x14ac:dyDescent="0.2">
      <c r="A21" s="71"/>
      <c r="C21" s="2"/>
      <c r="D21" s="2"/>
      <c r="E21" s="2"/>
      <c r="F21" s="2"/>
      <c r="G21" s="2"/>
      <c r="K21" s="293"/>
      <c r="L21" s="293"/>
      <c r="M21" s="293"/>
      <c r="N21" s="293"/>
      <c r="O21" s="293"/>
      <c r="P21" s="293"/>
      <c r="Q21" s="293"/>
      <c r="R21" s="293"/>
      <c r="S21" s="293"/>
      <c r="T21" s="293"/>
      <c r="U21" s="293"/>
      <c r="V21" s="293"/>
      <c r="W21" s="293"/>
      <c r="X21" s="293"/>
      <c r="Y21" s="293"/>
      <c r="Z21" s="293"/>
    </row>
    <row r="22" spans="1:42" ht="14.25" thickBot="1" x14ac:dyDescent="0.2">
      <c r="A22" s="71">
        <v>9</v>
      </c>
      <c r="B22" t="s">
        <v>598</v>
      </c>
      <c r="C22" s="76" t="s">
        <v>484</v>
      </c>
      <c r="D22" s="2">
        <f>INDEX(L81:M82,MATCH(C22,K81:K82,0),MATCH(G22,L80:M80,0))</f>
        <v>1000000</v>
      </c>
      <c r="E22" s="67">
        <v>1</v>
      </c>
      <c r="F22" s="2"/>
      <c r="G22" s="76" t="s">
        <v>485</v>
      </c>
      <c r="I22" s="10">
        <f>D22*E22</f>
        <v>1000000</v>
      </c>
      <c r="K22" s="293"/>
      <c r="L22" s="293"/>
      <c r="M22" s="293"/>
      <c r="N22" s="293"/>
      <c r="O22" s="293"/>
      <c r="P22" s="293"/>
      <c r="Q22" s="293"/>
      <c r="R22" s="293"/>
      <c r="S22" s="293"/>
      <c r="T22" s="293"/>
      <c r="U22" s="293"/>
      <c r="V22" s="293"/>
      <c r="W22" s="293"/>
      <c r="X22" s="293"/>
      <c r="Y22" s="293"/>
      <c r="Z22" s="293"/>
    </row>
    <row r="23" spans="1:42" ht="14.25" thickBot="1" x14ac:dyDescent="0.2">
      <c r="A23" s="71"/>
      <c r="C23" s="2"/>
      <c r="D23" s="2"/>
      <c r="E23" s="2"/>
      <c r="F23" s="2"/>
      <c r="G23" s="2"/>
      <c r="K23" s="293"/>
      <c r="L23" s="292" t="s">
        <v>312</v>
      </c>
      <c r="M23" s="292" t="s">
        <v>313</v>
      </c>
      <c r="N23" s="293"/>
      <c r="O23" s="293"/>
      <c r="P23" s="293"/>
      <c r="Q23" s="293"/>
      <c r="R23" s="293"/>
      <c r="S23" s="293"/>
      <c r="T23" s="293"/>
      <c r="U23" s="293"/>
      <c r="V23" s="293"/>
      <c r="W23" s="293"/>
      <c r="X23" s="293"/>
      <c r="Y23" s="293"/>
      <c r="Z23" s="293"/>
    </row>
    <row r="24" spans="1:42" ht="14.25" thickBot="1" x14ac:dyDescent="0.2">
      <c r="A24" s="71">
        <v>10</v>
      </c>
      <c r="B24" t="s">
        <v>599</v>
      </c>
      <c r="C24" s="76" t="s">
        <v>507</v>
      </c>
      <c r="D24" s="2">
        <f>INDEX(L86:M87,MATCH(C24,K86:K87,0),MATCH(G24,L85:M85,0))</f>
        <v>7.2328921847732</v>
      </c>
      <c r="E24" s="67">
        <v>1</v>
      </c>
      <c r="F24" s="2"/>
      <c r="G24" s="76" t="s">
        <v>508</v>
      </c>
      <c r="I24" s="10">
        <f>D24*E24</f>
        <v>7.2328921847732</v>
      </c>
      <c r="K24" s="292" t="s">
        <v>312</v>
      </c>
      <c r="L24" s="293">
        <v>1</v>
      </c>
      <c r="M24" s="293">
        <v>57.295781219955501</v>
      </c>
      <c r="N24" s="293"/>
      <c r="O24" s="293"/>
      <c r="P24" s="293"/>
      <c r="Q24" s="293"/>
      <c r="R24" s="293"/>
      <c r="S24" s="293"/>
      <c r="T24" s="293"/>
      <c r="U24" s="293"/>
      <c r="V24" s="293"/>
      <c r="W24" s="293"/>
      <c r="X24" s="293"/>
      <c r="Y24" s="293"/>
      <c r="Z24" s="293"/>
    </row>
    <row r="25" spans="1:42" ht="14.25" thickBot="1" x14ac:dyDescent="0.2">
      <c r="A25" s="71"/>
      <c r="C25" s="2"/>
      <c r="D25" s="2"/>
      <c r="E25" s="2"/>
      <c r="F25" s="2"/>
      <c r="G25" s="2"/>
      <c r="K25" s="292" t="s">
        <v>313</v>
      </c>
      <c r="L25" s="293">
        <v>1.7453291999999999E-2</v>
      </c>
      <c r="M25" s="293">
        <v>1</v>
      </c>
      <c r="N25" s="293"/>
      <c r="O25" s="293"/>
      <c r="P25" s="293"/>
      <c r="Q25" s="293"/>
      <c r="R25" s="293"/>
      <c r="S25" s="293"/>
      <c r="T25" s="293"/>
      <c r="U25" s="293"/>
      <c r="V25" s="293"/>
      <c r="W25" s="293"/>
      <c r="X25" s="293"/>
      <c r="Y25" s="293"/>
      <c r="Z25" s="293"/>
    </row>
    <row r="26" spans="1:42" ht="14.25" thickBot="1" x14ac:dyDescent="0.2">
      <c r="A26" s="71">
        <v>11</v>
      </c>
      <c r="B26" t="s">
        <v>600</v>
      </c>
      <c r="C26" s="76" t="s">
        <v>509</v>
      </c>
      <c r="D26" s="2">
        <f>INDEX(L91:M92,MATCH(C26,K91:K92,0),MATCH(G26,L90:M90,0))</f>
        <v>23.729859281934498</v>
      </c>
      <c r="E26" s="67">
        <v>1</v>
      </c>
      <c r="F26" s="2"/>
      <c r="G26" s="76" t="s">
        <v>510</v>
      </c>
      <c r="I26" s="10">
        <f>D26*E26</f>
        <v>23.729859281934498</v>
      </c>
      <c r="K26" s="293"/>
      <c r="L26" s="293"/>
      <c r="M26" s="293"/>
      <c r="N26" s="293"/>
      <c r="O26" s="293"/>
      <c r="P26" s="293"/>
      <c r="Q26" s="293"/>
      <c r="R26" s="293"/>
      <c r="S26" s="293"/>
      <c r="T26" s="293"/>
      <c r="U26" s="293"/>
      <c r="V26" s="293"/>
      <c r="W26" s="293"/>
      <c r="X26" s="293"/>
      <c r="Y26" s="293"/>
      <c r="Z26" s="293"/>
    </row>
    <row r="27" spans="1:42" ht="14.25" thickBot="1" x14ac:dyDescent="0.2">
      <c r="A27" s="71"/>
      <c r="C27" s="2"/>
      <c r="D27" s="2"/>
      <c r="E27" s="2"/>
      <c r="F27" s="2"/>
      <c r="G27" s="2"/>
      <c r="K27" s="293"/>
      <c r="L27" s="293"/>
      <c r="M27" s="293"/>
      <c r="N27" s="293"/>
      <c r="O27" s="293"/>
      <c r="P27" s="293"/>
      <c r="Q27" s="293"/>
      <c r="R27" s="293"/>
      <c r="S27" s="293"/>
      <c r="T27" s="293"/>
      <c r="U27" s="293"/>
      <c r="V27" s="293"/>
      <c r="W27" s="293"/>
      <c r="X27" s="293"/>
      <c r="Y27" s="293"/>
      <c r="Z27" s="293"/>
    </row>
    <row r="28" spans="1:42" ht="14.25" thickBot="1" x14ac:dyDescent="0.2">
      <c r="A28" s="71">
        <v>12</v>
      </c>
      <c r="B28" t="s">
        <v>601</v>
      </c>
      <c r="C28" s="76" t="s">
        <v>543</v>
      </c>
      <c r="D28" s="2">
        <f>INDEX(L96:M97,MATCH(C28,K96:K97,0),MATCH(G28,L95:M95,0))</f>
        <v>23.729853650873601</v>
      </c>
      <c r="E28" s="67">
        <v>1</v>
      </c>
      <c r="F28" s="2"/>
      <c r="G28" s="76" t="s">
        <v>544</v>
      </c>
      <c r="I28" s="10">
        <f>D28*E28</f>
        <v>23.729853650873601</v>
      </c>
      <c r="K28" s="293"/>
      <c r="L28" s="292" t="s">
        <v>314</v>
      </c>
      <c r="M28" s="292" t="s">
        <v>315</v>
      </c>
      <c r="N28" s="292" t="s">
        <v>316</v>
      </c>
      <c r="O28" s="292" t="s">
        <v>317</v>
      </c>
      <c r="P28" s="292" t="s">
        <v>320</v>
      </c>
      <c r="Q28" s="292" t="s">
        <v>318</v>
      </c>
      <c r="R28" s="292" t="s">
        <v>319</v>
      </c>
      <c r="S28" s="293"/>
      <c r="T28" s="293"/>
      <c r="U28" s="293"/>
      <c r="V28" s="293"/>
      <c r="W28" s="293"/>
      <c r="X28" s="293"/>
      <c r="Y28" s="293"/>
      <c r="Z28" s="293"/>
    </row>
    <row r="29" spans="1:42" ht="14.25" thickBot="1" x14ac:dyDescent="0.2">
      <c r="A29" s="71"/>
      <c r="C29" s="2"/>
      <c r="D29" s="2"/>
      <c r="E29" s="2"/>
      <c r="F29" s="2"/>
      <c r="G29" s="2"/>
      <c r="K29" s="292" t="s">
        <v>314</v>
      </c>
      <c r="L29" s="293">
        <v>1</v>
      </c>
      <c r="M29" s="293">
        <v>0.01</v>
      </c>
      <c r="N29" s="293">
        <v>1E-4</v>
      </c>
      <c r="O29" s="293">
        <v>1550.0031000061999</v>
      </c>
      <c r="P29" s="293">
        <v>2.4710272060095398E-4</v>
      </c>
      <c r="Q29" s="293">
        <v>0.30249863875612598</v>
      </c>
      <c r="R29" s="293">
        <v>1.00832879585375E-3</v>
      </c>
      <c r="S29" s="293"/>
      <c r="T29" s="293"/>
      <c r="U29" s="293"/>
      <c r="V29" s="293"/>
      <c r="W29" s="293"/>
      <c r="X29" s="293"/>
      <c r="Y29" s="293"/>
      <c r="Z29" s="293"/>
    </row>
    <row r="30" spans="1:42" ht="14.25" thickBot="1" x14ac:dyDescent="0.2">
      <c r="A30" s="71">
        <v>13</v>
      </c>
      <c r="B30" t="s">
        <v>602</v>
      </c>
      <c r="C30" s="76" t="s">
        <v>559</v>
      </c>
      <c r="D30" s="2">
        <f>INDEX(L101:N103,MATCH(C30,K101:K103,0),MATCH(G30,L100:N100,0))</f>
        <v>0.73756217556944803</v>
      </c>
      <c r="E30" s="67">
        <v>1</v>
      </c>
      <c r="F30" s="2"/>
      <c r="G30" s="76" t="s">
        <v>558</v>
      </c>
      <c r="I30" s="10">
        <f>D30*E30</f>
        <v>0.73756217556944803</v>
      </c>
      <c r="K30" s="292" t="s">
        <v>315</v>
      </c>
      <c r="L30" s="293">
        <v>100</v>
      </c>
      <c r="M30" s="293">
        <v>1</v>
      </c>
      <c r="N30" s="293">
        <v>0.01</v>
      </c>
      <c r="O30" s="293">
        <v>155000.31000062</v>
      </c>
      <c r="P30" s="293">
        <v>2.4710272060095399E-2</v>
      </c>
      <c r="Q30" s="293">
        <v>30.249863875612601</v>
      </c>
      <c r="R30" s="293">
        <v>0.100832879585375</v>
      </c>
      <c r="S30" s="293"/>
      <c r="T30" s="293"/>
      <c r="U30" s="293"/>
      <c r="V30" s="293"/>
      <c r="W30" s="293"/>
      <c r="X30" s="293"/>
      <c r="Y30" s="293"/>
      <c r="Z30" s="293"/>
    </row>
    <row r="31" spans="1:42" ht="14.25" thickBot="1" x14ac:dyDescent="0.2">
      <c r="A31" s="71"/>
      <c r="C31" s="2"/>
      <c r="D31" s="2"/>
      <c r="E31" s="2"/>
      <c r="F31" s="2"/>
      <c r="G31" s="2"/>
      <c r="K31" s="292" t="s">
        <v>316</v>
      </c>
      <c r="L31" s="293">
        <v>10000</v>
      </c>
      <c r="M31" s="293">
        <v>100</v>
      </c>
      <c r="N31" s="293">
        <v>1</v>
      </c>
      <c r="O31" s="293">
        <v>15500031.000062</v>
      </c>
      <c r="P31" s="293">
        <v>2.47102720600954</v>
      </c>
      <c r="Q31" s="293">
        <v>3024.98638756126</v>
      </c>
      <c r="R31" s="293">
        <v>10.0832879585375</v>
      </c>
      <c r="S31" s="293"/>
      <c r="T31" s="293"/>
      <c r="U31" s="293"/>
      <c r="V31" s="293"/>
      <c r="W31" s="293"/>
      <c r="X31" s="293"/>
      <c r="Y31" s="293"/>
      <c r="Z31" s="293"/>
    </row>
    <row r="32" spans="1:42" ht="14.25" thickBot="1" x14ac:dyDescent="0.2">
      <c r="A32" s="71">
        <v>14</v>
      </c>
      <c r="B32" t="s">
        <v>603</v>
      </c>
      <c r="C32" s="76" t="s">
        <v>545</v>
      </c>
      <c r="D32" s="2">
        <f>INDEX(L107:O110,MATCH(C32,K107:K110,0),MATCH(G32,L106:O106,0))</f>
        <v>100000</v>
      </c>
      <c r="E32" s="67">
        <v>1</v>
      </c>
      <c r="F32" s="2"/>
      <c r="G32" s="76" t="s">
        <v>547</v>
      </c>
      <c r="I32" s="10">
        <f>D32*E32</f>
        <v>100000</v>
      </c>
      <c r="K32" s="292" t="s">
        <v>317</v>
      </c>
      <c r="L32" s="293">
        <v>6.4515999999999998E-4</v>
      </c>
      <c r="M32" s="293">
        <v>6.4516000000000002E-6</v>
      </c>
      <c r="N32" s="293">
        <v>6.4515999999999994E-8</v>
      </c>
      <c r="O32" s="293">
        <v>1</v>
      </c>
      <c r="P32" s="293">
        <v>1.5942079122291101E-7</v>
      </c>
      <c r="Q32" s="293">
        <v>1.5942079122291101E-7</v>
      </c>
      <c r="R32" s="293">
        <v>6.5053340593300701E-7</v>
      </c>
      <c r="S32" s="293"/>
      <c r="T32" s="293"/>
      <c r="U32" s="293"/>
      <c r="V32" s="293"/>
      <c r="W32" s="293"/>
      <c r="X32" s="293"/>
      <c r="Y32" s="293"/>
      <c r="Z32" s="293"/>
    </row>
    <row r="33" spans="1:26" ht="14.25" thickBot="1" x14ac:dyDescent="0.2">
      <c r="A33" s="71"/>
      <c r="C33" s="2"/>
      <c r="D33" s="2"/>
      <c r="E33" s="2"/>
      <c r="F33" s="2"/>
      <c r="G33" s="2"/>
      <c r="K33" s="292" t="s">
        <v>320</v>
      </c>
      <c r="L33" s="293">
        <v>4046.9</v>
      </c>
      <c r="M33" s="293">
        <v>40.469000000000001</v>
      </c>
      <c r="N33" s="293">
        <v>0.40468999999999999</v>
      </c>
      <c r="O33" s="293">
        <v>6272707.5454150904</v>
      </c>
      <c r="P33" s="293">
        <v>1</v>
      </c>
      <c r="Q33" s="293">
        <v>1224.1817411821601</v>
      </c>
      <c r="R33" s="293">
        <v>4.0806058039405499</v>
      </c>
      <c r="S33" s="293"/>
      <c r="T33" s="293"/>
      <c r="U33" s="293"/>
      <c r="V33" s="293"/>
      <c r="W33" s="293"/>
      <c r="X33" s="293"/>
      <c r="Y33" s="293"/>
      <c r="Z33" s="293"/>
    </row>
    <row r="34" spans="1:26" ht="14.25" thickBot="1" x14ac:dyDescent="0.2">
      <c r="A34" s="71">
        <v>15</v>
      </c>
      <c r="B34" t="s">
        <v>604</v>
      </c>
      <c r="C34" s="76" t="s">
        <v>555</v>
      </c>
      <c r="D34" s="71">
        <f>INDEX(L114:Q119,MATCH(C34,K114:K119,0),MATCH(G34,L113:Q113,0))</f>
        <v>1.33322E-3</v>
      </c>
      <c r="E34" s="67">
        <v>1</v>
      </c>
      <c r="F34" s="2"/>
      <c r="G34" s="76" t="s">
        <v>561</v>
      </c>
      <c r="I34" s="10">
        <f>D34*E34</f>
        <v>1.33322E-3</v>
      </c>
      <c r="K34" s="292" t="s">
        <v>318</v>
      </c>
      <c r="L34" s="293">
        <v>3.3058000000000001</v>
      </c>
      <c r="M34" s="293">
        <v>3.3057999999999997E-2</v>
      </c>
      <c r="N34" s="293">
        <v>3.3058000000000002E-4</v>
      </c>
      <c r="O34" s="293">
        <v>5124.0002480004996</v>
      </c>
      <c r="P34" s="293">
        <v>8.1687217376263303E-4</v>
      </c>
      <c r="Q34" s="293">
        <v>1</v>
      </c>
      <c r="R34" s="293">
        <v>3.3333333333333301E-3</v>
      </c>
      <c r="S34" s="293"/>
      <c r="T34" s="293"/>
      <c r="U34" s="293"/>
      <c r="V34" s="293"/>
      <c r="W34" s="293"/>
      <c r="X34" s="293"/>
      <c r="Y34" s="293"/>
      <c r="Z34" s="293"/>
    </row>
    <row r="35" spans="1:26" ht="14.25" thickBot="1" x14ac:dyDescent="0.2">
      <c r="A35" s="71"/>
      <c r="C35" s="2"/>
      <c r="D35" s="2"/>
      <c r="E35" s="2"/>
      <c r="F35" s="2"/>
      <c r="G35" s="2"/>
      <c r="K35" s="292" t="s">
        <v>319</v>
      </c>
      <c r="L35" s="293">
        <v>991.74</v>
      </c>
      <c r="M35" s="293">
        <v>9.9174000000000007</v>
      </c>
      <c r="N35" s="293">
        <v>9.9173999999999998E-2</v>
      </c>
      <c r="O35" s="293">
        <v>1537200.07440015</v>
      </c>
      <c r="P35" s="293">
        <v>0.24506165212879</v>
      </c>
      <c r="Q35" s="293">
        <v>300</v>
      </c>
      <c r="R35" s="293">
        <v>1</v>
      </c>
      <c r="S35" s="293"/>
      <c r="T35" s="293"/>
      <c r="U35" s="293"/>
      <c r="V35" s="293"/>
      <c r="W35" s="293"/>
      <c r="X35" s="293"/>
      <c r="Y35" s="293"/>
      <c r="Z35" s="293"/>
    </row>
    <row r="36" spans="1:26" ht="14.25" thickBot="1" x14ac:dyDescent="0.2">
      <c r="A36" s="71">
        <v>16</v>
      </c>
      <c r="B36" t="s">
        <v>605</v>
      </c>
      <c r="C36" s="76" t="s">
        <v>564</v>
      </c>
      <c r="D36" s="2">
        <f>INDEX(L123:N125,MATCH(C36,K123:K125,0),MATCH(G36,L122:N122,0))</f>
        <v>10</v>
      </c>
      <c r="E36" s="67">
        <v>1</v>
      </c>
      <c r="F36" s="2"/>
      <c r="G36" s="76" t="s">
        <v>565</v>
      </c>
      <c r="I36" s="10">
        <f>D36*E36</f>
        <v>10</v>
      </c>
      <c r="K36" s="293"/>
      <c r="L36" s="293"/>
      <c r="M36" s="293"/>
      <c r="N36" s="293"/>
      <c r="O36" s="293"/>
      <c r="P36" s="293"/>
      <c r="Q36" s="293"/>
      <c r="R36" s="293"/>
      <c r="S36" s="293"/>
      <c r="T36" s="293"/>
      <c r="U36" s="293"/>
      <c r="V36" s="293"/>
      <c r="W36" s="293"/>
      <c r="X36" s="293"/>
      <c r="Y36" s="293"/>
      <c r="Z36" s="293"/>
    </row>
    <row r="37" spans="1:26" ht="14.25" thickBot="1" x14ac:dyDescent="0.2">
      <c r="A37" s="71"/>
      <c r="C37" s="2"/>
      <c r="D37" s="2"/>
      <c r="E37" s="2"/>
      <c r="F37" s="2"/>
      <c r="G37" s="2"/>
      <c r="K37" s="293"/>
      <c r="L37" s="293"/>
      <c r="M37" s="293"/>
      <c r="N37" s="293"/>
      <c r="O37" s="293"/>
      <c r="P37" s="293"/>
      <c r="Q37" s="293"/>
      <c r="R37" s="293"/>
      <c r="S37" s="293"/>
      <c r="T37" s="293"/>
      <c r="U37" s="293"/>
      <c r="V37" s="293"/>
      <c r="W37" s="293"/>
      <c r="X37" s="293"/>
      <c r="Y37" s="293"/>
      <c r="Z37" s="293"/>
    </row>
    <row r="38" spans="1:26" ht="14.25" thickBot="1" x14ac:dyDescent="0.2">
      <c r="A38" s="71">
        <v>17</v>
      </c>
      <c r="B38" t="s">
        <v>606</v>
      </c>
      <c r="C38" s="76" t="s">
        <v>566</v>
      </c>
      <c r="D38" s="2">
        <f>INDEX(L129:N131,MATCH(C38,K129:K131,0),MATCH(G38,L128:N128,0))</f>
        <v>3599.9712002304</v>
      </c>
      <c r="E38" s="67">
        <v>1</v>
      </c>
      <c r="F38" s="2"/>
      <c r="G38" s="76" t="s">
        <v>568</v>
      </c>
      <c r="I38" s="10">
        <f>D38*E38</f>
        <v>3599.9712002304</v>
      </c>
      <c r="K38" s="293"/>
      <c r="L38" s="292" t="s">
        <v>328</v>
      </c>
      <c r="M38" s="292" t="s">
        <v>330</v>
      </c>
      <c r="N38" s="292" t="s">
        <v>331</v>
      </c>
      <c r="O38" s="292" t="s">
        <v>332</v>
      </c>
      <c r="P38" s="292" t="s">
        <v>333</v>
      </c>
      <c r="Q38" s="292" t="s">
        <v>334</v>
      </c>
      <c r="R38" s="292" t="s">
        <v>335</v>
      </c>
      <c r="S38" s="292" t="s">
        <v>336</v>
      </c>
      <c r="T38" s="293"/>
      <c r="U38" s="293"/>
      <c r="V38" s="293"/>
      <c r="W38" s="293"/>
      <c r="X38" s="293"/>
      <c r="Y38" s="293"/>
      <c r="Z38" s="293"/>
    </row>
    <row r="39" spans="1:26" ht="14.25" thickBot="1" x14ac:dyDescent="0.2">
      <c r="A39" s="71"/>
      <c r="C39" s="77"/>
      <c r="D39" s="2"/>
      <c r="E39" s="2"/>
      <c r="F39" s="2"/>
      <c r="G39" s="2"/>
      <c r="K39" s="292" t="s">
        <v>328</v>
      </c>
      <c r="L39" s="293">
        <v>1</v>
      </c>
      <c r="M39" s="293">
        <v>1000</v>
      </c>
      <c r="N39" s="293">
        <v>1000000</v>
      </c>
      <c r="O39" s="293">
        <v>61023.610034722398</v>
      </c>
      <c r="P39" s="293">
        <v>264.20079260237799</v>
      </c>
      <c r="Q39" s="293">
        <v>5543.5445423804003</v>
      </c>
      <c r="R39" s="293">
        <v>554.35261039100703</v>
      </c>
      <c r="S39" s="293">
        <v>219.97360316762001</v>
      </c>
      <c r="T39" s="293"/>
      <c r="U39" s="293"/>
      <c r="V39" s="293"/>
      <c r="W39" s="293"/>
      <c r="X39" s="293"/>
      <c r="Y39" s="293"/>
      <c r="Z39" s="293"/>
    </row>
    <row r="40" spans="1:26" ht="14.25" thickBot="1" x14ac:dyDescent="0.2">
      <c r="A40" s="71">
        <v>18</v>
      </c>
      <c r="B40" t="s">
        <v>607</v>
      </c>
      <c r="C40" s="76" t="s">
        <v>569</v>
      </c>
      <c r="D40" s="2">
        <f>INDEX(L135:N137,MATCH(C40,K135:K137,0),MATCH(G40,L134:N134,0))</f>
        <v>1000</v>
      </c>
      <c r="E40" s="67">
        <v>1</v>
      </c>
      <c r="F40" s="2"/>
      <c r="G40" s="76" t="s">
        <v>570</v>
      </c>
      <c r="I40" s="10">
        <f>D40*E40</f>
        <v>1000</v>
      </c>
      <c r="K40" s="292" t="s">
        <v>330</v>
      </c>
      <c r="L40" s="293">
        <v>1E-3</v>
      </c>
      <c r="M40" s="293">
        <v>1</v>
      </c>
      <c r="N40" s="293">
        <v>1000</v>
      </c>
      <c r="O40" s="293">
        <v>61.023610034722402</v>
      </c>
      <c r="P40" s="293">
        <v>0.264200792602378</v>
      </c>
      <c r="Q40" s="293">
        <v>5.5435445423804</v>
      </c>
      <c r="R40" s="293">
        <v>0.55435261039100703</v>
      </c>
      <c r="S40" s="293">
        <v>0.21997360316761999</v>
      </c>
      <c r="T40" s="293"/>
      <c r="U40" s="293"/>
      <c r="V40" s="293"/>
      <c r="W40" s="293"/>
      <c r="X40" s="293"/>
      <c r="Y40" s="293"/>
      <c r="Z40" s="293"/>
    </row>
    <row r="41" spans="1:26" ht="14.25" thickBot="1" x14ac:dyDescent="0.2">
      <c r="A41" s="71"/>
      <c r="C41" s="2"/>
      <c r="D41" s="2"/>
      <c r="E41" s="2"/>
      <c r="F41" s="2"/>
      <c r="G41" s="2"/>
      <c r="K41" s="292" t="s">
        <v>331</v>
      </c>
      <c r="L41" s="293">
        <v>9.9999999999999995E-7</v>
      </c>
      <c r="M41" s="293">
        <v>1E-3</v>
      </c>
      <c r="N41" s="293">
        <v>1</v>
      </c>
      <c r="O41" s="293">
        <v>6.1023610034722398E-2</v>
      </c>
      <c r="P41" s="293">
        <v>2.6420079260237802E-4</v>
      </c>
      <c r="Q41" s="293">
        <v>5.5435445423804002E-3</v>
      </c>
      <c r="R41" s="293">
        <v>5.5435261039100698E-4</v>
      </c>
      <c r="S41" s="293">
        <v>2.1997360316762001E-4</v>
      </c>
      <c r="T41" s="293"/>
      <c r="U41" s="293"/>
      <c r="V41" s="293"/>
      <c r="W41" s="293"/>
      <c r="X41" s="293"/>
      <c r="Y41" s="293"/>
      <c r="Z41" s="293"/>
    </row>
    <row r="42" spans="1:26" ht="14.25" thickBot="1" x14ac:dyDescent="0.2">
      <c r="A42" s="71">
        <v>19</v>
      </c>
      <c r="B42" t="s">
        <v>608</v>
      </c>
      <c r="C42" s="76" t="s">
        <v>572</v>
      </c>
      <c r="D42" s="2">
        <f>INDEX(L141:P145,MATCH(C42,K141:K145,0),MATCH(G42,L140:P140,0))</f>
        <v>6.2415063630940303E+18</v>
      </c>
      <c r="E42" s="67">
        <v>1</v>
      </c>
      <c r="F42" s="2"/>
      <c r="G42" s="76" t="s">
        <v>576</v>
      </c>
      <c r="I42" s="10">
        <f>D42*E42</f>
        <v>6.2415063630940303E+18</v>
      </c>
      <c r="K42" s="292" t="s">
        <v>332</v>
      </c>
      <c r="L42" s="293">
        <v>1.6387100000000001E-5</v>
      </c>
      <c r="M42" s="293">
        <v>1.6387100000000002E-2</v>
      </c>
      <c r="N42" s="293">
        <v>16.3871</v>
      </c>
      <c r="O42" s="293">
        <v>1</v>
      </c>
      <c r="P42" s="293">
        <v>4.3294848084544299E-3</v>
      </c>
      <c r="Q42" s="293">
        <v>9.0842618770441794E-2</v>
      </c>
      <c r="R42" s="293">
        <v>9.0842316617384695E-3</v>
      </c>
      <c r="S42" s="293">
        <v>3.6047294324681001E-3</v>
      </c>
      <c r="T42" s="293"/>
      <c r="U42" s="293"/>
      <c r="V42" s="293"/>
      <c r="W42" s="293"/>
      <c r="X42" s="293"/>
      <c r="Y42" s="293"/>
      <c r="Z42" s="293"/>
    </row>
    <row r="43" spans="1:26" ht="14.25" thickBot="1" x14ac:dyDescent="0.2">
      <c r="A43" s="71"/>
      <c r="C43" s="2"/>
      <c r="D43" s="2"/>
      <c r="E43" s="2"/>
      <c r="F43" s="2"/>
      <c r="G43" s="2"/>
      <c r="K43" s="292" t="s">
        <v>333</v>
      </c>
      <c r="L43" s="293">
        <v>3.7850000000000002E-3</v>
      </c>
      <c r="M43" s="293">
        <v>3.7850000000000001</v>
      </c>
      <c r="N43" s="293">
        <v>3785</v>
      </c>
      <c r="O43" s="293">
        <v>230.97436398142401</v>
      </c>
      <c r="P43" s="293">
        <v>1</v>
      </c>
      <c r="Q43" s="293">
        <v>20.982316092909802</v>
      </c>
      <c r="R43" s="293">
        <v>2.0982246303299599</v>
      </c>
      <c r="S43" s="293">
        <v>0.83260008798944096</v>
      </c>
      <c r="T43" s="293"/>
      <c r="U43" s="293"/>
      <c r="V43" s="293"/>
      <c r="W43" s="293"/>
      <c r="X43" s="293"/>
      <c r="Y43" s="293"/>
      <c r="Z43" s="293"/>
    </row>
    <row r="44" spans="1:26" ht="14.25" thickBot="1" x14ac:dyDescent="0.2">
      <c r="A44" s="71">
        <v>20</v>
      </c>
      <c r="B44" t="s">
        <v>609</v>
      </c>
      <c r="C44" s="76" t="s">
        <v>578</v>
      </c>
      <c r="D44" s="2">
        <f>INDEX(L149:O152,MATCH(C44,K149:K152,0),MATCH(G44,L148:O148,0))</f>
        <v>0.101971621297793</v>
      </c>
      <c r="E44" s="67">
        <v>1</v>
      </c>
      <c r="F44" s="2"/>
      <c r="G44" s="76" t="s">
        <v>580</v>
      </c>
      <c r="I44" s="10">
        <f>D44*E44</f>
        <v>0.101971621297793</v>
      </c>
      <c r="K44" s="292" t="s">
        <v>334</v>
      </c>
      <c r="L44" s="293">
        <v>1.8039E-4</v>
      </c>
      <c r="M44" s="293">
        <v>0.18038999999999999</v>
      </c>
      <c r="N44" s="293">
        <v>180.39</v>
      </c>
      <c r="O44" s="293">
        <v>11.0080490141636</v>
      </c>
      <c r="P44" s="293">
        <v>4.7659180977542903E-2</v>
      </c>
      <c r="Q44" s="293">
        <v>1</v>
      </c>
      <c r="R44" s="293">
        <v>9.9999667388433799E-2</v>
      </c>
      <c r="S44" s="293">
        <v>3.9681038275406998E-2</v>
      </c>
      <c r="T44" s="293"/>
      <c r="U44" s="293"/>
      <c r="V44" s="293"/>
      <c r="W44" s="293"/>
      <c r="X44" s="293"/>
      <c r="Y44" s="293"/>
      <c r="Z44" s="293"/>
    </row>
    <row r="45" spans="1:26" ht="14.25" thickBot="1" x14ac:dyDescent="0.2">
      <c r="A45" s="71"/>
      <c r="C45" s="2"/>
      <c r="D45" s="2"/>
      <c r="E45" s="2"/>
      <c r="F45" s="2"/>
      <c r="G45" s="2"/>
      <c r="K45" s="292" t="s">
        <v>335</v>
      </c>
      <c r="L45" s="293">
        <v>1.8039060000000001E-3</v>
      </c>
      <c r="M45" s="293">
        <v>1.803906</v>
      </c>
      <c r="N45" s="293">
        <v>1803.9059999999999</v>
      </c>
      <c r="O45" s="293">
        <v>110.080856283296</v>
      </c>
      <c r="P45" s="293">
        <v>0.47659339498018499</v>
      </c>
      <c r="Q45" s="293">
        <v>10.0000332612673</v>
      </c>
      <c r="R45" s="293">
        <v>1</v>
      </c>
      <c r="S45" s="293">
        <v>0.39681170259568899</v>
      </c>
      <c r="T45" s="293"/>
      <c r="U45" s="293"/>
      <c r="V45" s="293"/>
      <c r="W45" s="293"/>
      <c r="X45" s="293"/>
      <c r="Y45" s="293"/>
      <c r="Z45" s="293"/>
    </row>
    <row r="46" spans="1:26" ht="14.25" thickBot="1" x14ac:dyDescent="0.2">
      <c r="A46" s="71">
        <v>21</v>
      </c>
      <c r="B46" t="s">
        <v>610</v>
      </c>
      <c r="C46" s="76" t="s">
        <v>584</v>
      </c>
      <c r="D46" s="2">
        <f>INDEX(L156:M157,MATCH(C46,K156:K157,0),MATCH(G46,L155:M155,0))</f>
        <v>2.2956841138659301</v>
      </c>
      <c r="E46" s="67">
        <v>1</v>
      </c>
      <c r="F46" s="2"/>
      <c r="G46" s="76" t="s">
        <v>583</v>
      </c>
      <c r="I46" s="10">
        <f>D46*E46</f>
        <v>2.2956841138659301</v>
      </c>
      <c r="K46" s="292" t="s">
        <v>336</v>
      </c>
      <c r="L46" s="293">
        <v>4.5459999999999997E-3</v>
      </c>
      <c r="M46" s="293">
        <v>4.5460000000000003</v>
      </c>
      <c r="N46" s="293">
        <v>4546</v>
      </c>
      <c r="O46" s="293">
        <v>277.413331217848</v>
      </c>
      <c r="P46" s="293">
        <v>1.2010568031704101</v>
      </c>
      <c r="Q46" s="293">
        <v>25.200953489661298</v>
      </c>
      <c r="R46" s="293">
        <v>2.5200869668375199</v>
      </c>
      <c r="S46" s="293">
        <v>1</v>
      </c>
      <c r="T46" s="293"/>
      <c r="U46" s="293"/>
      <c r="V46" s="293"/>
      <c r="W46" s="293"/>
      <c r="X46" s="293"/>
      <c r="Y46" s="293"/>
      <c r="Z46" s="293"/>
    </row>
    <row r="47" spans="1:26" ht="14.25" thickBot="1" x14ac:dyDescent="0.2">
      <c r="A47" s="71"/>
      <c r="C47" s="2"/>
      <c r="D47" s="2"/>
      <c r="E47" s="2"/>
      <c r="F47" s="2"/>
      <c r="G47" s="2"/>
      <c r="K47" s="293"/>
      <c r="L47" s="293"/>
      <c r="M47" s="293"/>
      <c r="N47" s="293"/>
      <c r="O47" s="293"/>
      <c r="P47" s="293"/>
      <c r="Q47" s="293"/>
      <c r="R47" s="293"/>
      <c r="S47" s="293"/>
      <c r="T47" s="293"/>
      <c r="U47" s="293"/>
      <c r="V47" s="293"/>
      <c r="W47" s="293"/>
      <c r="X47" s="293"/>
      <c r="Y47" s="293"/>
      <c r="Z47" s="293"/>
    </row>
    <row r="48" spans="1:26" ht="14.25" thickBot="1" x14ac:dyDescent="0.2">
      <c r="A48" s="71">
        <v>22</v>
      </c>
      <c r="B48" t="s">
        <v>611</v>
      </c>
      <c r="C48" s="76" t="s">
        <v>586</v>
      </c>
      <c r="D48" s="2">
        <f>INDEX(L161:M162,MATCH(C48,K161:K162,0),MATCH(G48,L160:M160,0))</f>
        <v>35.314667459787003</v>
      </c>
      <c r="E48" s="67">
        <v>1</v>
      </c>
      <c r="F48" s="2"/>
      <c r="G48" s="76" t="s">
        <v>585</v>
      </c>
      <c r="I48" s="10">
        <f>D48*E48</f>
        <v>35.314667459787003</v>
      </c>
      <c r="K48" s="293"/>
      <c r="L48" s="293"/>
      <c r="M48" s="293"/>
      <c r="N48" s="293"/>
      <c r="O48" s="293"/>
      <c r="P48" s="293"/>
      <c r="Q48" s="293"/>
      <c r="R48" s="293"/>
      <c r="S48" s="293"/>
      <c r="T48" s="293"/>
      <c r="U48" s="293"/>
      <c r="V48" s="293"/>
      <c r="W48" s="293"/>
      <c r="X48" s="293"/>
      <c r="Y48" s="293"/>
      <c r="Z48" s="293"/>
    </row>
    <row r="49" spans="1:26" ht="14.25" thickBot="1" x14ac:dyDescent="0.2">
      <c r="A49" s="71"/>
      <c r="C49" s="2"/>
      <c r="D49" s="2"/>
      <c r="E49" s="2"/>
      <c r="F49" s="2"/>
      <c r="G49" s="2"/>
      <c r="K49" s="293"/>
      <c r="L49" s="292" t="s">
        <v>337</v>
      </c>
      <c r="M49" s="292" t="s">
        <v>338</v>
      </c>
      <c r="N49" s="292" t="s">
        <v>339</v>
      </c>
      <c r="O49" s="292" t="s">
        <v>340</v>
      </c>
      <c r="P49" s="292" t="s">
        <v>341</v>
      </c>
      <c r="Q49" s="293"/>
      <c r="R49" s="293"/>
      <c r="S49" s="293"/>
      <c r="T49" s="293"/>
      <c r="U49" s="293"/>
      <c r="V49" s="293"/>
      <c r="W49" s="293"/>
      <c r="X49" s="293"/>
      <c r="Y49" s="293"/>
      <c r="Z49" s="293"/>
    </row>
    <row r="50" spans="1:26" ht="14.25" thickBot="1" x14ac:dyDescent="0.2">
      <c r="A50" s="71">
        <v>23</v>
      </c>
      <c r="B50" t="s">
        <v>612</v>
      </c>
      <c r="C50" s="76" t="s">
        <v>588</v>
      </c>
      <c r="D50" s="2">
        <f>INDEX(L166:N168,MATCH(C50,K166:K168,0),MATCH(G50,L165:N165,0))</f>
        <v>33.800000017999999</v>
      </c>
      <c r="E50" s="67">
        <v>1</v>
      </c>
      <c r="F50" s="2"/>
      <c r="G50" s="76" t="s">
        <v>589</v>
      </c>
      <c r="I50" s="10">
        <f>D50*E50</f>
        <v>33.800000017999999</v>
      </c>
      <c r="K50" s="292" t="s">
        <v>337</v>
      </c>
      <c r="L50" s="293">
        <v>1</v>
      </c>
      <c r="M50" s="293">
        <v>1.1574074074074101E-5</v>
      </c>
      <c r="N50" s="293">
        <v>2.7777777777777799E-4</v>
      </c>
      <c r="O50" s="293">
        <v>1.6666666666666701E-2</v>
      </c>
      <c r="P50" s="293">
        <v>3.1688761602879697E-8</v>
      </c>
      <c r="Q50" s="293"/>
      <c r="R50" s="293"/>
      <c r="S50" s="293"/>
      <c r="T50" s="293"/>
      <c r="U50" s="293"/>
      <c r="V50" s="293"/>
      <c r="W50" s="293"/>
      <c r="X50" s="293"/>
      <c r="Y50" s="293"/>
      <c r="Z50" s="293"/>
    </row>
    <row r="51" spans="1:26" x14ac:dyDescent="0.15">
      <c r="K51" s="292" t="s">
        <v>338</v>
      </c>
      <c r="L51" s="293">
        <v>86400</v>
      </c>
      <c r="M51" s="293">
        <v>1</v>
      </c>
      <c r="N51" s="293">
        <v>24</v>
      </c>
      <c r="O51" s="293">
        <v>1440</v>
      </c>
      <c r="P51" s="293">
        <v>2.7379090024888001E-3</v>
      </c>
      <c r="Q51" s="293"/>
      <c r="R51" s="293"/>
      <c r="S51" s="293"/>
      <c r="T51" s="293"/>
      <c r="U51" s="293"/>
      <c r="V51" s="293"/>
      <c r="W51" s="293"/>
      <c r="X51" s="293"/>
      <c r="Y51" s="293"/>
      <c r="Z51" s="293"/>
    </row>
    <row r="52" spans="1:26" x14ac:dyDescent="0.15">
      <c r="B52" s="90"/>
      <c r="K52" s="292" t="s">
        <v>339</v>
      </c>
      <c r="L52" s="293">
        <v>3600</v>
      </c>
      <c r="M52" s="293">
        <v>4.1666666666666699E-2</v>
      </c>
      <c r="N52" s="293">
        <v>1</v>
      </c>
      <c r="O52" s="293">
        <v>60</v>
      </c>
      <c r="P52" s="293">
        <v>1.14079541770367E-4</v>
      </c>
      <c r="Q52" s="293"/>
      <c r="R52" s="293"/>
      <c r="S52" s="293"/>
      <c r="T52" s="293"/>
      <c r="U52" s="293"/>
      <c r="V52" s="293"/>
      <c r="W52" s="293"/>
      <c r="X52" s="293"/>
      <c r="Y52" s="293"/>
      <c r="Z52" s="293"/>
    </row>
    <row r="53" spans="1:26" x14ac:dyDescent="0.15">
      <c r="K53" s="292" t="s">
        <v>340</v>
      </c>
      <c r="L53" s="293">
        <v>60</v>
      </c>
      <c r="M53" s="293">
        <v>6.9444444444444404E-4</v>
      </c>
      <c r="N53" s="293">
        <v>1.6666666666666701E-2</v>
      </c>
      <c r="O53" s="293">
        <v>1</v>
      </c>
      <c r="P53" s="293">
        <v>1.9013256961727801E-6</v>
      </c>
      <c r="Q53" s="293"/>
      <c r="R53" s="293"/>
      <c r="S53" s="293"/>
      <c r="T53" s="293"/>
      <c r="U53" s="293"/>
      <c r="V53" s="293"/>
      <c r="W53" s="293"/>
      <c r="X53" s="293"/>
      <c r="Y53" s="293"/>
      <c r="Z53" s="293"/>
    </row>
    <row r="54" spans="1:26" x14ac:dyDescent="0.15">
      <c r="K54" s="292" t="s">
        <v>341</v>
      </c>
      <c r="L54" s="293">
        <v>31556929</v>
      </c>
      <c r="M54" s="293">
        <v>365.24223379629598</v>
      </c>
      <c r="N54" s="293">
        <v>8765.8136111111107</v>
      </c>
      <c r="O54" s="293">
        <v>525948.816666667</v>
      </c>
      <c r="P54" s="293">
        <v>1</v>
      </c>
      <c r="Q54" s="293"/>
      <c r="R54" s="293"/>
      <c r="S54" s="293"/>
      <c r="T54" s="293"/>
      <c r="U54" s="293"/>
      <c r="V54" s="293"/>
      <c r="W54" s="293"/>
      <c r="X54" s="293"/>
      <c r="Y54" s="293"/>
      <c r="Z54" s="293"/>
    </row>
    <row r="55" spans="1:26" x14ac:dyDescent="0.15">
      <c r="K55" s="293"/>
      <c r="L55" s="293"/>
      <c r="M55" s="293"/>
      <c r="N55" s="293"/>
      <c r="O55" s="293"/>
      <c r="P55" s="293"/>
      <c r="Q55" s="293"/>
      <c r="R55" s="293"/>
      <c r="S55" s="293"/>
      <c r="T55" s="293"/>
      <c r="U55" s="293"/>
      <c r="V55" s="293"/>
      <c r="W55" s="293"/>
      <c r="X55" s="293"/>
      <c r="Y55" s="293"/>
      <c r="Z55" s="293"/>
    </row>
    <row r="56" spans="1:26" x14ac:dyDescent="0.15">
      <c r="K56" s="293"/>
      <c r="L56" s="293"/>
      <c r="M56" s="293"/>
      <c r="N56" s="293"/>
      <c r="O56" s="293"/>
      <c r="P56" s="293"/>
      <c r="Q56" s="293"/>
      <c r="R56" s="293"/>
      <c r="S56" s="293"/>
      <c r="T56" s="293"/>
      <c r="U56" s="293"/>
      <c r="V56" s="293"/>
      <c r="W56" s="293"/>
      <c r="X56" s="293"/>
      <c r="Y56" s="293"/>
      <c r="Z56" s="293"/>
    </row>
    <row r="57" spans="1:26" x14ac:dyDescent="0.15">
      <c r="K57" s="293"/>
      <c r="L57" s="292" t="s">
        <v>342</v>
      </c>
      <c r="M57" s="292" t="s">
        <v>344</v>
      </c>
      <c r="N57" s="292" t="s">
        <v>345</v>
      </c>
      <c r="O57" s="293"/>
      <c r="P57" s="293"/>
      <c r="Q57" s="293"/>
      <c r="R57" s="293"/>
      <c r="S57" s="293"/>
      <c r="T57" s="293"/>
      <c r="U57" s="293"/>
      <c r="V57" s="293"/>
      <c r="W57" s="293"/>
      <c r="X57" s="293"/>
      <c r="Y57" s="293"/>
      <c r="Z57" s="293"/>
    </row>
    <row r="58" spans="1:26" x14ac:dyDescent="0.15">
      <c r="K58" s="292" t="s">
        <v>342</v>
      </c>
      <c r="L58" s="293">
        <v>1</v>
      </c>
      <c r="M58" s="293">
        <v>1.9438445092340799</v>
      </c>
      <c r="N58" s="293">
        <v>2.2371364653243799</v>
      </c>
      <c r="O58" s="293"/>
      <c r="P58" s="293"/>
      <c r="Q58" s="293"/>
      <c r="R58" s="293"/>
      <c r="S58" s="293"/>
      <c r="T58" s="293"/>
      <c r="U58" s="293"/>
      <c r="V58" s="293"/>
      <c r="W58" s="293"/>
      <c r="X58" s="293"/>
      <c r="Y58" s="293"/>
      <c r="Z58" s="293"/>
    </row>
    <row r="59" spans="1:26" x14ac:dyDescent="0.15">
      <c r="K59" s="292" t="s">
        <v>344</v>
      </c>
      <c r="L59" s="293">
        <v>0.51444444</v>
      </c>
      <c r="M59" s="293">
        <v>1</v>
      </c>
      <c r="N59" s="293">
        <v>1.1508824161073801</v>
      </c>
      <c r="O59" s="293"/>
      <c r="P59" s="293"/>
      <c r="Q59" s="293"/>
      <c r="R59" s="293"/>
      <c r="S59" s="293"/>
      <c r="T59" s="293"/>
      <c r="U59" s="293"/>
      <c r="V59" s="293"/>
      <c r="W59" s="293"/>
      <c r="X59" s="293"/>
      <c r="Y59" s="293"/>
      <c r="Z59" s="293"/>
    </row>
    <row r="60" spans="1:26" x14ac:dyDescent="0.15">
      <c r="K60" s="292" t="s">
        <v>345</v>
      </c>
      <c r="L60" s="293">
        <v>0.44700000000000001</v>
      </c>
      <c r="M60" s="293">
        <v>0.86889849562763299</v>
      </c>
      <c r="N60" s="293">
        <v>1</v>
      </c>
      <c r="O60" s="293"/>
      <c r="P60" s="293"/>
      <c r="Q60" s="293"/>
      <c r="R60" s="293"/>
      <c r="S60" s="293"/>
      <c r="T60" s="293"/>
      <c r="U60" s="293"/>
      <c r="V60" s="293"/>
      <c r="W60" s="293"/>
      <c r="X60" s="293"/>
      <c r="Y60" s="293"/>
      <c r="Z60" s="293"/>
    </row>
    <row r="61" spans="1:26" x14ac:dyDescent="0.15">
      <c r="K61" s="293"/>
      <c r="L61" s="293"/>
      <c r="M61" s="293"/>
      <c r="N61" s="293"/>
      <c r="O61" s="293"/>
      <c r="P61" s="293"/>
      <c r="Q61" s="293"/>
      <c r="R61" s="293"/>
      <c r="S61" s="293"/>
      <c r="T61" s="293"/>
      <c r="U61" s="293"/>
      <c r="V61" s="293"/>
      <c r="W61" s="293"/>
      <c r="X61" s="293"/>
      <c r="Y61" s="293"/>
      <c r="Z61" s="293"/>
    </row>
    <row r="62" spans="1:26" x14ac:dyDescent="0.15">
      <c r="K62" s="293"/>
      <c r="L62" s="293"/>
      <c r="M62" s="293"/>
      <c r="N62" s="293"/>
      <c r="O62" s="293"/>
      <c r="P62" s="293"/>
      <c r="Q62" s="293"/>
      <c r="R62" s="293"/>
      <c r="S62" s="293"/>
      <c r="T62" s="293"/>
      <c r="U62" s="293"/>
      <c r="V62" s="293"/>
      <c r="W62" s="293"/>
      <c r="X62" s="293"/>
      <c r="Y62" s="293"/>
      <c r="Z62" s="293"/>
    </row>
    <row r="63" spans="1:26" x14ac:dyDescent="0.15">
      <c r="K63" s="293"/>
      <c r="L63" s="292" t="s">
        <v>349</v>
      </c>
      <c r="M63" s="292" t="s">
        <v>347</v>
      </c>
      <c r="N63" s="292" t="s">
        <v>348</v>
      </c>
      <c r="O63" s="293"/>
      <c r="P63" s="293"/>
      <c r="Q63" s="293"/>
      <c r="R63" s="293"/>
      <c r="S63" s="293"/>
      <c r="T63" s="293"/>
      <c r="U63" s="293"/>
      <c r="V63" s="293"/>
      <c r="W63" s="293"/>
      <c r="X63" s="293"/>
      <c r="Y63" s="293"/>
      <c r="Z63" s="293"/>
    </row>
    <row r="64" spans="1:26" x14ac:dyDescent="0.15">
      <c r="K64" s="292" t="s">
        <v>349</v>
      </c>
      <c r="L64" s="293">
        <v>1</v>
      </c>
      <c r="M64" s="293">
        <v>100</v>
      </c>
      <c r="N64" s="293">
        <v>0.101971621297793</v>
      </c>
      <c r="O64" s="293"/>
      <c r="P64" s="293"/>
      <c r="Q64" s="293"/>
      <c r="R64" s="293"/>
      <c r="S64" s="293"/>
      <c r="T64" s="293"/>
      <c r="U64" s="293"/>
      <c r="V64" s="293"/>
      <c r="W64" s="293"/>
      <c r="X64" s="293"/>
      <c r="Y64" s="293"/>
      <c r="Z64" s="293"/>
    </row>
    <row r="65" spans="11:26" x14ac:dyDescent="0.15">
      <c r="K65" s="292" t="s">
        <v>347</v>
      </c>
      <c r="L65" s="293">
        <v>0.01</v>
      </c>
      <c r="M65" s="293">
        <v>1</v>
      </c>
      <c r="N65" s="293">
        <v>1.0197162129779299E-3</v>
      </c>
      <c r="O65" s="293"/>
      <c r="P65" s="293"/>
      <c r="Q65" s="293"/>
      <c r="R65" s="293"/>
      <c r="S65" s="293"/>
      <c r="T65" s="293"/>
      <c r="U65" s="293"/>
      <c r="V65" s="293"/>
      <c r="W65" s="293"/>
      <c r="X65" s="293"/>
      <c r="Y65" s="293"/>
      <c r="Z65" s="293"/>
    </row>
    <row r="66" spans="11:26" x14ac:dyDescent="0.15">
      <c r="K66" s="292" t="s">
        <v>348</v>
      </c>
      <c r="L66" s="293">
        <v>9.8066499999999994</v>
      </c>
      <c r="M66" s="293">
        <v>980.66499999999996</v>
      </c>
      <c r="N66" s="293">
        <v>1</v>
      </c>
      <c r="O66" s="293"/>
      <c r="P66" s="293"/>
      <c r="Q66" s="293"/>
      <c r="R66" s="293"/>
      <c r="S66" s="293"/>
      <c r="T66" s="293"/>
      <c r="U66" s="293"/>
      <c r="V66" s="293"/>
      <c r="W66" s="293"/>
      <c r="X66" s="293"/>
      <c r="Y66" s="293"/>
      <c r="Z66" s="293"/>
    </row>
    <row r="67" spans="11:26" x14ac:dyDescent="0.15">
      <c r="K67" s="293"/>
      <c r="L67" s="293"/>
      <c r="M67" s="293"/>
      <c r="N67" s="293"/>
      <c r="O67" s="293"/>
      <c r="P67" s="293"/>
      <c r="Q67" s="293"/>
      <c r="R67" s="293"/>
      <c r="S67" s="293"/>
      <c r="T67" s="293"/>
      <c r="U67" s="293"/>
      <c r="V67" s="293"/>
      <c r="W67" s="293"/>
      <c r="X67" s="293"/>
      <c r="Y67" s="293"/>
      <c r="Z67" s="293"/>
    </row>
    <row r="68" spans="11:26" x14ac:dyDescent="0.15">
      <c r="K68" s="293"/>
      <c r="L68" s="293"/>
      <c r="M68" s="293"/>
      <c r="N68" s="293"/>
      <c r="O68" s="293"/>
      <c r="P68" s="293"/>
      <c r="Q68" s="293"/>
      <c r="R68" s="293"/>
      <c r="S68" s="293"/>
      <c r="T68" s="293"/>
      <c r="U68" s="293"/>
      <c r="V68" s="293"/>
      <c r="W68" s="293"/>
      <c r="X68" s="293"/>
      <c r="Y68" s="293"/>
      <c r="Z68" s="293"/>
    </row>
    <row r="69" spans="11:26" x14ac:dyDescent="0.15">
      <c r="K69" s="293"/>
      <c r="L69" s="292" t="s">
        <v>351</v>
      </c>
      <c r="M69" s="292" t="s">
        <v>353</v>
      </c>
      <c r="N69" s="292" t="s">
        <v>354</v>
      </c>
      <c r="O69" s="292" t="s">
        <v>355</v>
      </c>
      <c r="P69" s="292" t="s">
        <v>356</v>
      </c>
      <c r="Q69" s="292" t="s">
        <v>359</v>
      </c>
      <c r="R69" s="292" t="s">
        <v>357</v>
      </c>
      <c r="S69" s="292" t="s">
        <v>358</v>
      </c>
      <c r="T69" s="293"/>
      <c r="U69" s="293"/>
      <c r="V69" s="293"/>
      <c r="W69" s="293"/>
      <c r="X69" s="293"/>
      <c r="Y69" s="293"/>
      <c r="Z69" s="293"/>
    </row>
    <row r="70" spans="11:26" x14ac:dyDescent="0.15">
      <c r="K70" s="292" t="s">
        <v>351</v>
      </c>
      <c r="L70" s="293">
        <v>1</v>
      </c>
      <c r="M70" s="293">
        <v>1E-3</v>
      </c>
      <c r="N70" s="293">
        <v>6.0221366516751597E+26</v>
      </c>
      <c r="O70" s="293">
        <v>5000</v>
      </c>
      <c r="P70" s="293">
        <v>266.66666666666703</v>
      </c>
      <c r="Q70" s="293">
        <v>0.266666666666667</v>
      </c>
      <c r="R70" s="293">
        <v>2.2045855379188701</v>
      </c>
      <c r="S70" s="293">
        <v>35.273368606701901</v>
      </c>
      <c r="T70" s="293"/>
      <c r="U70" s="293"/>
      <c r="V70" s="293"/>
      <c r="W70" s="293"/>
      <c r="X70" s="293"/>
      <c r="Y70" s="293"/>
      <c r="Z70" s="293"/>
    </row>
    <row r="71" spans="11:26" x14ac:dyDescent="0.15">
      <c r="K71" s="292" t="s">
        <v>353</v>
      </c>
      <c r="L71" s="293">
        <v>1000</v>
      </c>
      <c r="M71" s="293">
        <v>1</v>
      </c>
      <c r="N71" s="293">
        <v>6.0221366516751597E+29</v>
      </c>
      <c r="O71" s="293">
        <v>5000000</v>
      </c>
      <c r="P71" s="293">
        <v>266666.66666666698</v>
      </c>
      <c r="Q71" s="293">
        <v>266.66666666666703</v>
      </c>
      <c r="R71" s="293">
        <v>2204.5855379188702</v>
      </c>
      <c r="S71" s="293">
        <v>35273.368606701901</v>
      </c>
      <c r="T71" s="293"/>
      <c r="U71" s="293"/>
      <c r="V71" s="293"/>
      <c r="W71" s="293"/>
      <c r="X71" s="293"/>
      <c r="Y71" s="293"/>
      <c r="Z71" s="293"/>
    </row>
    <row r="72" spans="11:26" x14ac:dyDescent="0.15">
      <c r="K72" s="292" t="s">
        <v>354</v>
      </c>
      <c r="L72" s="293">
        <v>1.6605402E-27</v>
      </c>
      <c r="M72" s="293">
        <v>1.6605401999999999E-30</v>
      </c>
      <c r="N72" s="293">
        <v>1</v>
      </c>
      <c r="O72" s="293">
        <v>8.3027009999999994E-24</v>
      </c>
      <c r="P72" s="293">
        <v>4.4281071999999998E-25</v>
      </c>
      <c r="Q72" s="293">
        <v>4.4281071999999999E-28</v>
      </c>
      <c r="R72" s="293">
        <v>3.6608029100529098E-27</v>
      </c>
      <c r="S72" s="293">
        <v>5.8572846560846602E-26</v>
      </c>
      <c r="T72" s="293"/>
      <c r="U72" s="293"/>
      <c r="V72" s="293"/>
      <c r="W72" s="293"/>
      <c r="X72" s="293"/>
      <c r="Y72" s="293"/>
      <c r="Z72" s="293"/>
    </row>
    <row r="73" spans="11:26" x14ac:dyDescent="0.15">
      <c r="K73" s="292" t="s">
        <v>355</v>
      </c>
      <c r="L73" s="293">
        <v>2.0000000000000001E-4</v>
      </c>
      <c r="M73" s="293">
        <v>1.9999999999999999E-7</v>
      </c>
      <c r="N73" s="293">
        <v>1.2044273303350299E+23</v>
      </c>
      <c r="O73" s="293">
        <v>1</v>
      </c>
      <c r="P73" s="293">
        <v>5.3333333333333302E-2</v>
      </c>
      <c r="Q73" s="293">
        <v>5.3333333333333299E-5</v>
      </c>
      <c r="R73" s="293">
        <v>4.4091710758377401E-4</v>
      </c>
      <c r="S73" s="293">
        <v>7.0546737213403902E-3</v>
      </c>
      <c r="T73" s="293"/>
      <c r="U73" s="293"/>
      <c r="V73" s="293"/>
      <c r="W73" s="293"/>
      <c r="X73" s="293"/>
      <c r="Y73" s="293"/>
      <c r="Z73" s="293"/>
    </row>
    <row r="74" spans="11:26" x14ac:dyDescent="0.15">
      <c r="K74" s="292" t="s">
        <v>356</v>
      </c>
      <c r="L74" s="293">
        <v>3.7499999999999999E-3</v>
      </c>
      <c r="M74" s="293">
        <v>3.7500000000000001E-6</v>
      </c>
      <c r="N74" s="293">
        <v>2.25830124437818E+24</v>
      </c>
      <c r="O74" s="293">
        <v>18.75</v>
      </c>
      <c r="P74" s="293">
        <v>1</v>
      </c>
      <c r="Q74" s="293">
        <v>1E-3</v>
      </c>
      <c r="R74" s="293">
        <v>8.2671957671957702E-3</v>
      </c>
      <c r="S74" s="293">
        <v>0.13227513227513199</v>
      </c>
      <c r="T74" s="293"/>
      <c r="U74" s="293"/>
      <c r="V74" s="293"/>
      <c r="W74" s="293"/>
      <c r="X74" s="293"/>
      <c r="Y74" s="293"/>
      <c r="Z74" s="293"/>
    </row>
    <row r="75" spans="11:26" x14ac:dyDescent="0.15">
      <c r="K75" s="292" t="s">
        <v>359</v>
      </c>
      <c r="L75" s="293">
        <v>3.75</v>
      </c>
      <c r="M75" s="293">
        <v>3.7499999999999999E-3</v>
      </c>
      <c r="N75" s="293">
        <v>2.2583012443781799E+27</v>
      </c>
      <c r="O75" s="293">
        <v>18750</v>
      </c>
      <c r="P75" s="293">
        <v>1000</v>
      </c>
      <c r="Q75" s="293">
        <v>1</v>
      </c>
      <c r="R75" s="293">
        <v>8.2671957671957692</v>
      </c>
      <c r="S75" s="293">
        <v>132.27513227513199</v>
      </c>
      <c r="T75" s="293"/>
      <c r="U75" s="293"/>
      <c r="V75" s="293"/>
      <c r="W75" s="293"/>
      <c r="X75" s="293"/>
      <c r="Y75" s="293"/>
      <c r="Z75" s="293"/>
    </row>
    <row r="76" spans="11:26" x14ac:dyDescent="0.15">
      <c r="K76" s="292" t="s">
        <v>357</v>
      </c>
      <c r="L76" s="293">
        <v>0.4536</v>
      </c>
      <c r="M76" s="293">
        <v>4.5360000000000002E-4</v>
      </c>
      <c r="N76" s="293">
        <v>2.7316411851998501E+26</v>
      </c>
      <c r="O76" s="293">
        <v>2268</v>
      </c>
      <c r="P76" s="293">
        <v>120.96</v>
      </c>
      <c r="Q76" s="293">
        <v>0.12096</v>
      </c>
      <c r="R76" s="293">
        <v>1</v>
      </c>
      <c r="S76" s="293">
        <v>16</v>
      </c>
      <c r="T76" s="293"/>
      <c r="U76" s="293"/>
      <c r="V76" s="293"/>
      <c r="W76" s="293"/>
      <c r="X76" s="293"/>
      <c r="Y76" s="293"/>
      <c r="Z76" s="293"/>
    </row>
    <row r="77" spans="11:26" x14ac:dyDescent="0.15">
      <c r="K77" s="292" t="s">
        <v>358</v>
      </c>
      <c r="L77" s="293">
        <v>2.835E-2</v>
      </c>
      <c r="M77" s="293">
        <v>2.8350000000000001E-5</v>
      </c>
      <c r="N77" s="293">
        <v>1.70727574074991E+25</v>
      </c>
      <c r="O77" s="293">
        <v>141.75</v>
      </c>
      <c r="P77" s="293">
        <v>7.56</v>
      </c>
      <c r="Q77" s="293">
        <v>7.5599999999999999E-3</v>
      </c>
      <c r="R77" s="293">
        <v>6.25E-2</v>
      </c>
      <c r="S77" s="293">
        <v>1</v>
      </c>
      <c r="T77" s="293"/>
      <c r="U77" s="293"/>
      <c r="V77" s="293"/>
      <c r="W77" s="293"/>
      <c r="X77" s="293"/>
      <c r="Y77" s="293"/>
      <c r="Z77" s="293"/>
    </row>
    <row r="78" spans="11:26" x14ac:dyDescent="0.15">
      <c r="K78" s="293"/>
      <c r="L78" s="293"/>
      <c r="M78" s="293"/>
      <c r="N78" s="293"/>
      <c r="O78" s="293"/>
      <c r="P78" s="293"/>
      <c r="Q78" s="293"/>
      <c r="R78" s="293"/>
      <c r="S78" s="293"/>
      <c r="T78" s="293"/>
      <c r="U78" s="293"/>
      <c r="V78" s="293"/>
      <c r="W78" s="293"/>
      <c r="X78" s="293"/>
      <c r="Y78" s="293"/>
      <c r="Z78" s="293"/>
    </row>
    <row r="79" spans="11:26" x14ac:dyDescent="0.15">
      <c r="K79" s="293"/>
      <c r="L79" s="293"/>
      <c r="M79" s="293"/>
      <c r="N79" s="293"/>
      <c r="O79" s="293"/>
      <c r="P79" s="293"/>
      <c r="Q79" s="293"/>
      <c r="R79" s="293"/>
      <c r="S79" s="293"/>
      <c r="T79" s="293"/>
      <c r="U79" s="293"/>
      <c r="V79" s="293"/>
      <c r="W79" s="293"/>
      <c r="X79" s="293"/>
      <c r="Y79" s="293"/>
      <c r="Z79" s="293"/>
    </row>
    <row r="80" spans="11:26" x14ac:dyDescent="0.15">
      <c r="K80" s="293"/>
      <c r="L80" s="293" t="s">
        <v>484</v>
      </c>
      <c r="M80" s="293" t="s">
        <v>486</v>
      </c>
      <c r="N80" s="293"/>
      <c r="O80" s="293"/>
      <c r="P80" s="293"/>
      <c r="Q80" s="293"/>
      <c r="R80" s="293"/>
      <c r="S80" s="293"/>
      <c r="T80" s="293"/>
      <c r="U80" s="293"/>
      <c r="V80" s="293"/>
      <c r="W80" s="293"/>
      <c r="X80" s="293"/>
      <c r="Y80" s="293"/>
      <c r="Z80" s="293"/>
    </row>
    <row r="81" spans="11:26" x14ac:dyDescent="0.15">
      <c r="K81" s="293" t="s">
        <v>484</v>
      </c>
      <c r="L81" s="293">
        <v>1</v>
      </c>
      <c r="M81" s="293">
        <v>1000000</v>
      </c>
      <c r="N81" s="293"/>
      <c r="O81" s="293"/>
      <c r="P81" s="293"/>
      <c r="Q81" s="293"/>
      <c r="R81" s="293"/>
      <c r="S81" s="293"/>
      <c r="T81" s="293"/>
      <c r="U81" s="293"/>
      <c r="V81" s="293"/>
      <c r="W81" s="293"/>
      <c r="X81" s="293"/>
      <c r="Y81" s="293"/>
      <c r="Z81" s="293"/>
    </row>
    <row r="82" spans="11:26" x14ac:dyDescent="0.15">
      <c r="K82" s="293" t="s">
        <v>486</v>
      </c>
      <c r="L82" s="293">
        <v>9.9999999999999995E-7</v>
      </c>
      <c r="M82" s="293">
        <v>1</v>
      </c>
      <c r="N82" s="293"/>
      <c r="O82" s="293"/>
      <c r="P82" s="293"/>
      <c r="Q82" s="293"/>
      <c r="R82" s="293"/>
      <c r="S82" s="293"/>
      <c r="T82" s="293"/>
      <c r="U82" s="293"/>
      <c r="V82" s="293"/>
      <c r="W82" s="293"/>
      <c r="X82" s="293"/>
      <c r="Y82" s="293"/>
      <c r="Z82" s="293"/>
    </row>
    <row r="83" spans="11:26" x14ac:dyDescent="0.15">
      <c r="K83" s="293"/>
      <c r="L83" s="293"/>
      <c r="M83" s="293"/>
      <c r="N83" s="293"/>
      <c r="O83" s="293"/>
      <c r="P83" s="293"/>
      <c r="Q83" s="293"/>
      <c r="R83" s="293"/>
      <c r="S83" s="293"/>
      <c r="T83" s="293"/>
      <c r="U83" s="293"/>
      <c r="V83" s="293"/>
      <c r="W83" s="293"/>
      <c r="X83" s="293"/>
      <c r="Y83" s="293"/>
      <c r="Z83" s="293"/>
    </row>
    <row r="84" spans="11:26" x14ac:dyDescent="0.15">
      <c r="K84" s="293"/>
      <c r="L84" s="293"/>
      <c r="M84" s="293"/>
      <c r="N84" s="293"/>
      <c r="O84" s="293"/>
      <c r="P84" s="293"/>
      <c r="Q84" s="293"/>
      <c r="R84" s="293"/>
      <c r="S84" s="293"/>
      <c r="T84" s="293"/>
      <c r="U84" s="293"/>
      <c r="V84" s="293"/>
      <c r="W84" s="293"/>
      <c r="X84" s="293"/>
      <c r="Y84" s="293"/>
      <c r="Z84" s="293"/>
    </row>
    <row r="85" spans="11:26" x14ac:dyDescent="0.15">
      <c r="K85" s="293"/>
      <c r="L85" s="293" t="s">
        <v>507</v>
      </c>
      <c r="M85" s="293" t="s">
        <v>508</v>
      </c>
      <c r="N85" s="293"/>
      <c r="O85" s="293"/>
      <c r="P85" s="293"/>
      <c r="Q85" s="293"/>
      <c r="R85" s="293"/>
      <c r="S85" s="293"/>
      <c r="T85" s="293"/>
      <c r="U85" s="293"/>
      <c r="V85" s="293"/>
      <c r="W85" s="293"/>
      <c r="X85" s="293"/>
      <c r="Y85" s="293"/>
      <c r="Z85" s="293"/>
    </row>
    <row r="86" spans="11:26" x14ac:dyDescent="0.15">
      <c r="K86" s="293" t="s">
        <v>507</v>
      </c>
      <c r="L86" s="293">
        <v>1</v>
      </c>
      <c r="M86" s="293">
        <v>7.2328921847732</v>
      </c>
      <c r="N86" s="293"/>
      <c r="O86" s="293"/>
      <c r="P86" s="293"/>
      <c r="Q86" s="293"/>
      <c r="R86" s="293"/>
      <c r="S86" s="293"/>
      <c r="T86" s="293"/>
      <c r="U86" s="293"/>
      <c r="V86" s="293"/>
      <c r="W86" s="293"/>
      <c r="X86" s="293"/>
      <c r="Y86" s="293"/>
      <c r="Z86" s="293"/>
    </row>
    <row r="87" spans="11:26" x14ac:dyDescent="0.15">
      <c r="K87" s="293" t="s">
        <v>508</v>
      </c>
      <c r="L87" s="293">
        <v>0.13825728000000001</v>
      </c>
      <c r="M87" s="293">
        <v>1</v>
      </c>
      <c r="N87" s="293"/>
      <c r="O87" s="293"/>
      <c r="P87" s="293"/>
      <c r="Q87" s="293"/>
      <c r="R87" s="293"/>
      <c r="S87" s="293"/>
      <c r="T87" s="293"/>
      <c r="U87" s="293"/>
      <c r="V87" s="293"/>
      <c r="W87" s="293"/>
      <c r="X87" s="293"/>
      <c r="Y87" s="293"/>
      <c r="Z87" s="293"/>
    </row>
    <row r="88" spans="11:26" x14ac:dyDescent="0.15">
      <c r="K88" s="293"/>
      <c r="L88" s="293"/>
      <c r="M88" s="293"/>
      <c r="N88" s="293"/>
      <c r="O88" s="293"/>
      <c r="P88" s="293"/>
      <c r="Q88" s="293"/>
      <c r="R88" s="293"/>
      <c r="S88" s="293"/>
      <c r="T88" s="293"/>
      <c r="U88" s="293"/>
      <c r="V88" s="293"/>
      <c r="W88" s="293"/>
      <c r="X88" s="293"/>
      <c r="Y88" s="293"/>
      <c r="Z88" s="293"/>
    </row>
    <row r="89" spans="11:26" x14ac:dyDescent="0.15">
      <c r="K89" s="293"/>
      <c r="L89" s="293"/>
      <c r="M89" s="293"/>
      <c r="N89" s="293"/>
      <c r="O89" s="293"/>
      <c r="P89" s="293"/>
      <c r="Q89" s="293"/>
      <c r="R89" s="293"/>
      <c r="S89" s="293"/>
      <c r="T89" s="293"/>
      <c r="U89" s="293"/>
      <c r="V89" s="293"/>
      <c r="W89" s="293"/>
      <c r="X89" s="293"/>
      <c r="Y89" s="293"/>
      <c r="Z89" s="293"/>
    </row>
    <row r="90" spans="11:26" x14ac:dyDescent="0.15">
      <c r="K90" s="293"/>
      <c r="L90" s="293" t="s">
        <v>509</v>
      </c>
      <c r="M90" s="293" t="s">
        <v>510</v>
      </c>
      <c r="N90" s="293"/>
      <c r="O90" s="293"/>
      <c r="P90" s="293"/>
      <c r="Q90" s="293"/>
      <c r="R90" s="293"/>
      <c r="S90" s="293"/>
      <c r="T90" s="293"/>
      <c r="U90" s="293"/>
      <c r="V90" s="293"/>
      <c r="W90" s="293"/>
      <c r="X90" s="293"/>
      <c r="Y90" s="293"/>
      <c r="Z90" s="293"/>
    </row>
    <row r="91" spans="11:26" x14ac:dyDescent="0.15">
      <c r="K91" s="293" t="s">
        <v>509</v>
      </c>
      <c r="L91" s="293">
        <v>1</v>
      </c>
      <c r="M91" s="293">
        <v>23.729859281934498</v>
      </c>
      <c r="N91" s="293"/>
      <c r="O91" s="293"/>
      <c r="P91" s="293"/>
      <c r="Q91" s="293"/>
      <c r="R91" s="293"/>
      <c r="S91" s="293"/>
      <c r="T91" s="293"/>
      <c r="U91" s="293"/>
      <c r="V91" s="293"/>
      <c r="W91" s="293"/>
      <c r="X91" s="293"/>
      <c r="Y91" s="293"/>
      <c r="Z91" s="293"/>
    </row>
    <row r="92" spans="11:26" x14ac:dyDescent="0.15">
      <c r="K92" s="293" t="s">
        <v>510</v>
      </c>
      <c r="L92" s="293">
        <v>4.2140999999999998E-2</v>
      </c>
      <c r="M92" s="293">
        <v>1</v>
      </c>
      <c r="N92" s="293"/>
      <c r="O92" s="293"/>
      <c r="P92" s="293"/>
      <c r="Q92" s="293"/>
      <c r="R92" s="293"/>
      <c r="S92" s="293"/>
      <c r="T92" s="293"/>
      <c r="U92" s="293"/>
      <c r="V92" s="293"/>
      <c r="W92" s="293"/>
      <c r="X92" s="293"/>
      <c r="Y92" s="293"/>
      <c r="Z92" s="293"/>
    </row>
    <row r="93" spans="11:26" x14ac:dyDescent="0.15">
      <c r="K93" s="293"/>
      <c r="L93" s="293"/>
      <c r="M93" s="293"/>
      <c r="N93" s="293"/>
      <c r="O93" s="293"/>
      <c r="P93" s="293"/>
      <c r="Q93" s="293"/>
      <c r="R93" s="293"/>
      <c r="S93" s="293"/>
      <c r="T93" s="293"/>
      <c r="U93" s="293"/>
      <c r="V93" s="293"/>
      <c r="W93" s="293"/>
      <c r="X93" s="293"/>
      <c r="Y93" s="293"/>
      <c r="Z93" s="293"/>
    </row>
    <row r="94" spans="11:26" x14ac:dyDescent="0.15">
      <c r="K94" s="293"/>
      <c r="L94" s="293"/>
      <c r="M94" s="293"/>
      <c r="N94" s="293"/>
      <c r="O94" s="293"/>
      <c r="P94" s="293"/>
      <c r="Q94" s="293"/>
      <c r="R94" s="293"/>
      <c r="S94" s="293"/>
      <c r="T94" s="293"/>
      <c r="U94" s="293"/>
      <c r="V94" s="293"/>
      <c r="W94" s="293"/>
      <c r="X94" s="293"/>
      <c r="Y94" s="293"/>
      <c r="Z94" s="293"/>
    </row>
    <row r="95" spans="11:26" x14ac:dyDescent="0.15">
      <c r="K95" s="293"/>
      <c r="L95" s="293" t="s">
        <v>543</v>
      </c>
      <c r="M95" s="293" t="s">
        <v>544</v>
      </c>
      <c r="N95" s="293"/>
      <c r="O95" s="293"/>
      <c r="P95" s="293"/>
      <c r="Q95" s="293"/>
      <c r="R95" s="293"/>
      <c r="S95" s="293"/>
      <c r="T95" s="293"/>
      <c r="U95" s="293"/>
      <c r="V95" s="293"/>
      <c r="W95" s="293"/>
      <c r="X95" s="293"/>
      <c r="Y95" s="293"/>
      <c r="Z95" s="293"/>
    </row>
    <row r="96" spans="11:26" x14ac:dyDescent="0.15">
      <c r="K96" s="293" t="s">
        <v>543</v>
      </c>
      <c r="L96" s="293">
        <v>1</v>
      </c>
      <c r="M96" s="293">
        <v>23.729853650873601</v>
      </c>
      <c r="N96" s="293"/>
      <c r="O96" s="293"/>
      <c r="P96" s="293"/>
      <c r="Q96" s="293"/>
      <c r="R96" s="293"/>
      <c r="S96" s="293"/>
      <c r="T96" s="293"/>
      <c r="U96" s="293"/>
      <c r="V96" s="293"/>
      <c r="W96" s="293"/>
      <c r="X96" s="293"/>
      <c r="Y96" s="293"/>
      <c r="Z96" s="293"/>
    </row>
    <row r="97" spans="11:26" x14ac:dyDescent="0.15">
      <c r="K97" s="293" t="s">
        <v>544</v>
      </c>
      <c r="L97" s="293">
        <v>4.214101E-2</v>
      </c>
      <c r="M97" s="293">
        <v>1</v>
      </c>
      <c r="N97" s="293"/>
      <c r="O97" s="293"/>
      <c r="P97" s="293"/>
      <c r="Q97" s="293"/>
      <c r="R97" s="293"/>
      <c r="S97" s="293"/>
      <c r="T97" s="293"/>
      <c r="U97" s="293"/>
      <c r="V97" s="293"/>
      <c r="W97" s="293"/>
      <c r="X97" s="293"/>
      <c r="Y97" s="293"/>
      <c r="Z97" s="293"/>
    </row>
    <row r="98" spans="11:26" x14ac:dyDescent="0.15">
      <c r="K98" s="293"/>
      <c r="L98" s="293"/>
      <c r="M98" s="293"/>
      <c r="N98" s="293"/>
      <c r="O98" s="293"/>
      <c r="P98" s="293"/>
      <c r="Q98" s="293"/>
      <c r="R98" s="293"/>
      <c r="S98" s="293"/>
      <c r="T98" s="293"/>
      <c r="U98" s="293"/>
      <c r="V98" s="293"/>
      <c r="W98" s="293"/>
      <c r="X98" s="293"/>
      <c r="Y98" s="293"/>
      <c r="Z98" s="293"/>
    </row>
    <row r="99" spans="11:26" x14ac:dyDescent="0.15">
      <c r="K99" s="293"/>
      <c r="L99" s="293"/>
      <c r="M99" s="293"/>
      <c r="N99" s="293"/>
      <c r="O99" s="293"/>
      <c r="P99" s="293"/>
      <c r="Q99" s="293"/>
      <c r="R99" s="293"/>
      <c r="S99" s="293"/>
      <c r="T99" s="293"/>
      <c r="U99" s="293"/>
      <c r="V99" s="293"/>
      <c r="W99" s="293"/>
      <c r="X99" s="293"/>
      <c r="Y99" s="293"/>
      <c r="Z99" s="293"/>
    </row>
    <row r="100" spans="11:26" x14ac:dyDescent="0.15">
      <c r="K100" s="293"/>
      <c r="L100" s="293" t="s">
        <v>560</v>
      </c>
      <c r="M100" s="293" t="s">
        <v>557</v>
      </c>
      <c r="N100" s="293" t="s">
        <v>558</v>
      </c>
      <c r="O100" s="293"/>
      <c r="P100" s="293"/>
      <c r="Q100" s="293"/>
      <c r="R100" s="293"/>
      <c r="S100" s="293"/>
      <c r="T100" s="293"/>
      <c r="U100" s="293"/>
      <c r="V100" s="293"/>
      <c r="W100" s="293"/>
      <c r="X100" s="293"/>
      <c r="Y100" s="293"/>
      <c r="Z100" s="293"/>
    </row>
    <row r="101" spans="11:26" x14ac:dyDescent="0.15">
      <c r="K101" s="293" t="s">
        <v>560</v>
      </c>
      <c r="L101" s="293">
        <v>1</v>
      </c>
      <c r="M101" s="293">
        <v>0.101971621297793</v>
      </c>
      <c r="N101" s="293">
        <v>0.73756217556944803</v>
      </c>
      <c r="O101" s="293"/>
      <c r="P101" s="293"/>
      <c r="Q101" s="293"/>
      <c r="R101" s="293"/>
      <c r="S101" s="293"/>
      <c r="T101" s="293"/>
      <c r="U101" s="293"/>
      <c r="V101" s="293"/>
      <c r="W101" s="293"/>
      <c r="X101" s="293"/>
      <c r="Y101" s="293"/>
      <c r="Z101" s="293"/>
    </row>
    <row r="102" spans="11:26" x14ac:dyDescent="0.15">
      <c r="K102" s="293" t="s">
        <v>557</v>
      </c>
      <c r="L102" s="293">
        <v>9.8066499999999994</v>
      </c>
      <c r="M102" s="293">
        <v>1</v>
      </c>
      <c r="N102" s="293">
        <v>7.2330141090481304</v>
      </c>
      <c r="O102" s="293"/>
      <c r="P102" s="293"/>
      <c r="Q102" s="293"/>
      <c r="R102" s="293"/>
      <c r="S102" s="293"/>
      <c r="T102" s="293"/>
      <c r="U102" s="293"/>
      <c r="V102" s="293"/>
      <c r="W102" s="293"/>
      <c r="X102" s="293"/>
      <c r="Y102" s="293"/>
      <c r="Z102" s="293"/>
    </row>
    <row r="103" spans="11:26" x14ac:dyDescent="0.15">
      <c r="K103" s="293" t="s">
        <v>558</v>
      </c>
      <c r="L103" s="293">
        <v>1.3558178999999999</v>
      </c>
      <c r="M103" s="293">
        <v>0.138254949447569</v>
      </c>
      <c r="N103" s="293">
        <v>1</v>
      </c>
      <c r="O103" s="293"/>
      <c r="P103" s="293"/>
      <c r="Q103" s="293"/>
      <c r="R103" s="293"/>
      <c r="S103" s="293"/>
      <c r="T103" s="293"/>
      <c r="U103" s="293"/>
      <c r="V103" s="293"/>
      <c r="W103" s="293"/>
      <c r="X103" s="293"/>
      <c r="Y103" s="293"/>
      <c r="Z103" s="293"/>
    </row>
    <row r="104" spans="11:26" x14ac:dyDescent="0.15">
      <c r="K104" s="293"/>
      <c r="L104" s="293"/>
      <c r="M104" s="293"/>
      <c r="N104" s="293"/>
      <c r="O104" s="293"/>
      <c r="P104" s="293"/>
      <c r="Q104" s="293"/>
      <c r="R104" s="293"/>
      <c r="S104" s="293"/>
      <c r="T104" s="293"/>
      <c r="U104" s="293"/>
      <c r="V104" s="293"/>
      <c r="W104" s="293"/>
      <c r="X104" s="293"/>
      <c r="Y104" s="293"/>
      <c r="Z104" s="293"/>
    </row>
    <row r="105" spans="11:26" x14ac:dyDescent="0.15">
      <c r="K105" s="293"/>
      <c r="L105" s="293"/>
      <c r="M105" s="293"/>
      <c r="N105" s="293"/>
      <c r="O105" s="293"/>
      <c r="P105" s="293"/>
      <c r="Q105" s="293"/>
      <c r="R105" s="293"/>
      <c r="S105" s="293"/>
      <c r="T105" s="293"/>
      <c r="U105" s="293"/>
      <c r="V105" s="293"/>
      <c r="W105" s="293"/>
      <c r="X105" s="293"/>
      <c r="Y105" s="293"/>
      <c r="Z105" s="293"/>
    </row>
    <row r="106" spans="11:26" x14ac:dyDescent="0.15">
      <c r="K106" s="293"/>
      <c r="L106" s="293" t="s">
        <v>546</v>
      </c>
      <c r="M106" s="293" t="s">
        <v>548</v>
      </c>
      <c r="N106" s="293" t="s">
        <v>549</v>
      </c>
      <c r="O106" s="293" t="s">
        <v>550</v>
      </c>
      <c r="P106" s="293"/>
      <c r="Q106" s="293"/>
      <c r="R106" s="293"/>
      <c r="S106" s="293"/>
      <c r="T106" s="293"/>
      <c r="U106" s="293"/>
      <c r="V106" s="293"/>
      <c r="W106" s="293"/>
      <c r="X106" s="293"/>
      <c r="Y106" s="293"/>
      <c r="Z106" s="293"/>
    </row>
    <row r="107" spans="11:26" x14ac:dyDescent="0.15">
      <c r="K107" s="293" t="s">
        <v>546</v>
      </c>
      <c r="L107" s="293">
        <v>1</v>
      </c>
      <c r="M107" s="293">
        <v>100000</v>
      </c>
      <c r="N107" s="293">
        <v>0.101971621297793</v>
      </c>
      <c r="O107" s="293">
        <v>0.22480516159125399</v>
      </c>
      <c r="P107" s="293"/>
      <c r="Q107" s="293"/>
      <c r="R107" s="293"/>
      <c r="S107" s="293"/>
      <c r="T107" s="293"/>
      <c r="U107" s="293"/>
      <c r="V107" s="293"/>
      <c r="W107" s="293"/>
      <c r="X107" s="293"/>
      <c r="Y107" s="293"/>
      <c r="Z107" s="293"/>
    </row>
    <row r="108" spans="11:26" x14ac:dyDescent="0.15">
      <c r="K108" s="293" t="s">
        <v>548</v>
      </c>
      <c r="L108" s="293">
        <v>1.0000000000000001E-5</v>
      </c>
      <c r="M108" s="293">
        <v>1</v>
      </c>
      <c r="N108" s="293">
        <v>1.0197162129779299E-6</v>
      </c>
      <c r="O108" s="293">
        <v>1.0197162129779299E-6</v>
      </c>
      <c r="P108" s="293"/>
      <c r="Q108" s="293"/>
      <c r="R108" s="293"/>
      <c r="S108" s="293"/>
      <c r="T108" s="293"/>
      <c r="U108" s="293"/>
      <c r="V108" s="293"/>
      <c r="W108" s="293"/>
      <c r="X108" s="293"/>
      <c r="Y108" s="293"/>
      <c r="Z108" s="293"/>
    </row>
    <row r="109" spans="11:26" x14ac:dyDescent="0.15">
      <c r="K109" s="293" t="s">
        <v>549</v>
      </c>
      <c r="L109" s="293">
        <v>9.8066499999999994</v>
      </c>
      <c r="M109" s="293">
        <v>980665</v>
      </c>
      <c r="N109" s="293">
        <v>1</v>
      </c>
      <c r="O109" s="293">
        <v>2.2045855379188701</v>
      </c>
      <c r="P109" s="293"/>
      <c r="Q109" s="293"/>
      <c r="R109" s="293"/>
      <c r="S109" s="293"/>
      <c r="T109" s="293"/>
      <c r="U109" s="293"/>
      <c r="V109" s="293"/>
      <c r="W109" s="293"/>
      <c r="X109" s="293"/>
      <c r="Y109" s="293"/>
      <c r="Z109" s="293"/>
    </row>
    <row r="110" spans="11:26" x14ac:dyDescent="0.15">
      <c r="K110" s="293" t="s">
        <v>550</v>
      </c>
      <c r="L110" s="293">
        <v>4.44829644</v>
      </c>
      <c r="M110" s="293">
        <v>444829.64399999997</v>
      </c>
      <c r="N110" s="293">
        <v>0.4536</v>
      </c>
      <c r="O110" s="293">
        <v>1</v>
      </c>
      <c r="P110" s="293"/>
      <c r="Q110" s="293"/>
      <c r="R110" s="293"/>
      <c r="S110" s="293"/>
      <c r="T110" s="293"/>
      <c r="U110" s="293"/>
      <c r="V110" s="293"/>
      <c r="W110" s="293"/>
      <c r="X110" s="293"/>
      <c r="Y110" s="293"/>
      <c r="Z110" s="293"/>
    </row>
    <row r="111" spans="11:26" x14ac:dyDescent="0.15">
      <c r="K111" s="293"/>
      <c r="L111" s="293"/>
      <c r="M111" s="293"/>
      <c r="N111" s="293"/>
      <c r="O111" s="293"/>
      <c r="P111" s="293"/>
      <c r="Q111" s="293"/>
      <c r="R111" s="293"/>
      <c r="S111" s="293"/>
      <c r="T111" s="293"/>
      <c r="U111" s="293"/>
      <c r="V111" s="293"/>
      <c r="W111" s="293"/>
      <c r="X111" s="293"/>
      <c r="Y111" s="293"/>
      <c r="Z111" s="293"/>
    </row>
    <row r="112" spans="11:26" x14ac:dyDescent="0.15">
      <c r="K112" s="293"/>
      <c r="L112" s="293"/>
      <c r="M112" s="293"/>
      <c r="N112" s="293"/>
      <c r="O112" s="293"/>
      <c r="P112" s="293"/>
      <c r="Q112" s="293"/>
      <c r="R112" s="293"/>
      <c r="S112" s="293"/>
      <c r="T112" s="293"/>
      <c r="U112" s="293"/>
      <c r="V112" s="293"/>
      <c r="W112" s="293"/>
      <c r="X112" s="293"/>
      <c r="Y112" s="293"/>
      <c r="Z112" s="293"/>
    </row>
    <row r="113" spans="11:26" x14ac:dyDescent="0.15">
      <c r="K113" s="293"/>
      <c r="L113" s="293" t="s">
        <v>552</v>
      </c>
      <c r="M113" s="293" t="s">
        <v>551</v>
      </c>
      <c r="N113" s="293" t="s">
        <v>553</v>
      </c>
      <c r="O113" s="293" t="s">
        <v>554</v>
      </c>
      <c r="P113" s="293" t="s">
        <v>555</v>
      </c>
      <c r="Q113" s="293" t="s">
        <v>556</v>
      </c>
      <c r="R113" s="293"/>
      <c r="S113" s="293"/>
      <c r="T113" s="293"/>
      <c r="U113" s="293"/>
      <c r="V113" s="293"/>
      <c r="W113" s="293"/>
      <c r="X113" s="293"/>
      <c r="Y113" s="293"/>
      <c r="Z113" s="293"/>
    </row>
    <row r="114" spans="11:26" x14ac:dyDescent="0.15">
      <c r="K114" s="293" t="s">
        <v>552</v>
      </c>
      <c r="L114" s="293">
        <v>1</v>
      </c>
      <c r="M114" s="293">
        <v>1</v>
      </c>
      <c r="N114" s="293">
        <v>1.0000000000000001E-5</v>
      </c>
      <c r="O114" s="293">
        <v>0.101971621297793</v>
      </c>
      <c r="P114" s="293">
        <v>7.5006375541921098E-3</v>
      </c>
      <c r="Q114" s="293">
        <v>1.4503530376846699E-4</v>
      </c>
      <c r="R114" s="293"/>
      <c r="S114" s="293"/>
      <c r="T114" s="293"/>
      <c r="U114" s="293"/>
      <c r="V114" s="293"/>
      <c r="W114" s="293"/>
      <c r="X114" s="293"/>
      <c r="Y114" s="293"/>
      <c r="Z114" s="293"/>
    </row>
    <row r="115" spans="11:26" x14ac:dyDescent="0.15">
      <c r="K115" s="293" t="s">
        <v>551</v>
      </c>
      <c r="L115" s="293">
        <v>1</v>
      </c>
      <c r="M115" s="293">
        <v>1</v>
      </c>
      <c r="N115" s="293">
        <v>1.0000000000000001E-5</v>
      </c>
      <c r="O115" s="293">
        <v>0.101971621297793</v>
      </c>
      <c r="P115" s="293">
        <v>7.5006375541921098E-3</v>
      </c>
      <c r="Q115" s="293">
        <v>1.4503530376846699E-4</v>
      </c>
      <c r="R115" s="293"/>
      <c r="S115" s="293"/>
      <c r="T115" s="293"/>
      <c r="U115" s="293"/>
      <c r="V115" s="293"/>
      <c r="W115" s="293"/>
      <c r="X115" s="293"/>
      <c r="Y115" s="293"/>
      <c r="Z115" s="293"/>
    </row>
    <row r="116" spans="11:26" x14ac:dyDescent="0.15">
      <c r="K116" s="293" t="s">
        <v>553</v>
      </c>
      <c r="L116" s="293">
        <v>100000</v>
      </c>
      <c r="M116" s="293">
        <v>100000</v>
      </c>
      <c r="N116" s="293">
        <v>1</v>
      </c>
      <c r="O116" s="293">
        <v>10197.162129779301</v>
      </c>
      <c r="P116" s="293">
        <v>750.06375541921102</v>
      </c>
      <c r="Q116" s="293">
        <v>14.503530376846699</v>
      </c>
      <c r="R116" s="293"/>
      <c r="S116" s="293"/>
      <c r="T116" s="293"/>
      <c r="U116" s="293"/>
      <c r="V116" s="293"/>
      <c r="W116" s="293"/>
      <c r="X116" s="293"/>
      <c r="Y116" s="293"/>
      <c r="Z116" s="293"/>
    </row>
    <row r="117" spans="11:26" x14ac:dyDescent="0.15">
      <c r="K117" s="293" t="s">
        <v>554</v>
      </c>
      <c r="L117" s="293">
        <v>9.8066499999999994</v>
      </c>
      <c r="M117" s="293">
        <v>9.8066499999999994</v>
      </c>
      <c r="N117" s="293">
        <v>9.80665E-5</v>
      </c>
      <c r="O117" s="293">
        <v>1</v>
      </c>
      <c r="P117" s="293">
        <v>7.3556127270818006E-2</v>
      </c>
      <c r="Q117" s="293">
        <v>1.42231046170104E-3</v>
      </c>
      <c r="R117" s="293"/>
      <c r="S117" s="293"/>
      <c r="T117" s="293"/>
      <c r="U117" s="293"/>
      <c r="V117" s="293"/>
      <c r="W117" s="293"/>
      <c r="X117" s="293"/>
      <c r="Y117" s="293"/>
      <c r="Z117" s="293"/>
    </row>
    <row r="118" spans="11:26" x14ac:dyDescent="0.15">
      <c r="K118" s="293" t="s">
        <v>555</v>
      </c>
      <c r="L118" s="293">
        <v>133.322</v>
      </c>
      <c r="M118" s="293">
        <v>133.322</v>
      </c>
      <c r="N118" s="293">
        <v>1.33322E-3</v>
      </c>
      <c r="O118" s="293">
        <v>13.595060494664301</v>
      </c>
      <c r="P118" s="293">
        <v>1</v>
      </c>
      <c r="Q118" s="293">
        <v>1.93363967690195E-2</v>
      </c>
      <c r="R118" s="293"/>
      <c r="S118" s="293"/>
      <c r="T118" s="293"/>
      <c r="U118" s="293"/>
      <c r="V118" s="293"/>
      <c r="W118" s="293"/>
      <c r="X118" s="293"/>
      <c r="Y118" s="293"/>
      <c r="Z118" s="293"/>
    </row>
    <row r="119" spans="11:26" x14ac:dyDescent="0.15">
      <c r="K119" s="293" t="s">
        <v>556</v>
      </c>
      <c r="L119" s="293">
        <v>6894.8729999999996</v>
      </c>
      <c r="M119" s="293">
        <v>6894.8729999999996</v>
      </c>
      <c r="N119" s="293">
        <v>6.894873E-2</v>
      </c>
      <c r="O119" s="293">
        <v>703.08137845237695</v>
      </c>
      <c r="P119" s="293">
        <v>51.715943355185203</v>
      </c>
      <c r="Q119" s="293">
        <v>1</v>
      </c>
      <c r="R119" s="293"/>
      <c r="S119" s="293"/>
      <c r="T119" s="293"/>
      <c r="U119" s="293"/>
      <c r="V119" s="293"/>
      <c r="W119" s="293"/>
      <c r="X119" s="293"/>
      <c r="Y119" s="293"/>
      <c r="Z119" s="293"/>
    </row>
    <row r="120" spans="11:26" x14ac:dyDescent="0.15">
      <c r="K120" s="293"/>
      <c r="L120" s="293"/>
      <c r="M120" s="293"/>
      <c r="N120" s="293"/>
      <c r="O120" s="293"/>
      <c r="P120" s="293"/>
      <c r="Q120" s="293"/>
      <c r="R120" s="293"/>
      <c r="S120" s="293"/>
      <c r="T120" s="293"/>
      <c r="U120" s="293"/>
      <c r="V120" s="293"/>
      <c r="W120" s="293"/>
      <c r="X120" s="293"/>
      <c r="Y120" s="293"/>
      <c r="Z120" s="293"/>
    </row>
    <row r="121" spans="11:26" x14ac:dyDescent="0.15">
      <c r="K121" s="293"/>
      <c r="L121" s="293"/>
      <c r="M121" s="293"/>
      <c r="N121" s="293"/>
      <c r="O121" s="293"/>
      <c r="P121" s="293"/>
      <c r="Q121" s="293"/>
      <c r="R121" s="293"/>
      <c r="S121" s="293"/>
      <c r="T121" s="293"/>
      <c r="U121" s="293"/>
      <c r="V121" s="293"/>
      <c r="W121" s="293"/>
      <c r="X121" s="293"/>
      <c r="Y121" s="293"/>
      <c r="Z121" s="293"/>
    </row>
    <row r="122" spans="11:26" x14ac:dyDescent="0.15">
      <c r="K122" s="293"/>
      <c r="L122" s="293" t="s">
        <v>564</v>
      </c>
      <c r="M122" s="293" t="s">
        <v>562</v>
      </c>
      <c r="N122" s="293" t="s">
        <v>563</v>
      </c>
      <c r="O122" s="293"/>
      <c r="P122" s="293"/>
      <c r="Q122" s="293"/>
      <c r="R122" s="293"/>
      <c r="S122" s="293"/>
      <c r="T122" s="293"/>
      <c r="U122" s="293"/>
      <c r="V122" s="293"/>
      <c r="W122" s="293"/>
      <c r="X122" s="293"/>
      <c r="Y122" s="293"/>
      <c r="Z122" s="293"/>
    </row>
    <row r="123" spans="11:26" x14ac:dyDescent="0.15">
      <c r="K123" s="293" t="s">
        <v>564</v>
      </c>
      <c r="L123" s="293">
        <v>1</v>
      </c>
      <c r="M123" s="293">
        <v>1</v>
      </c>
      <c r="N123" s="293">
        <v>10</v>
      </c>
      <c r="O123" s="293"/>
      <c r="P123" s="293"/>
      <c r="Q123" s="293"/>
      <c r="R123" s="293"/>
      <c r="S123" s="293"/>
      <c r="T123" s="293"/>
      <c r="U123" s="293"/>
      <c r="V123" s="293"/>
      <c r="W123" s="293"/>
      <c r="X123" s="293"/>
      <c r="Y123" s="293"/>
      <c r="Z123" s="293"/>
    </row>
    <row r="124" spans="11:26" x14ac:dyDescent="0.15">
      <c r="K124" s="293" t="s">
        <v>562</v>
      </c>
      <c r="L124" s="293">
        <v>1</v>
      </c>
      <c r="M124" s="293">
        <v>1</v>
      </c>
      <c r="N124" s="293">
        <v>10</v>
      </c>
      <c r="O124" s="293"/>
      <c r="P124" s="293"/>
      <c r="Q124" s="293"/>
      <c r="R124" s="293"/>
      <c r="S124" s="293"/>
      <c r="T124" s="293"/>
      <c r="U124" s="293"/>
      <c r="V124" s="293"/>
      <c r="W124" s="293"/>
      <c r="X124" s="293"/>
      <c r="Y124" s="293"/>
      <c r="Z124" s="293"/>
    </row>
    <row r="125" spans="11:26" x14ac:dyDescent="0.15">
      <c r="K125" s="293" t="s">
        <v>563</v>
      </c>
      <c r="L125" s="293">
        <v>0.1</v>
      </c>
      <c r="M125" s="293">
        <v>0.1</v>
      </c>
      <c r="N125" s="293">
        <v>1</v>
      </c>
      <c r="O125" s="293"/>
      <c r="P125" s="293"/>
      <c r="Q125" s="293"/>
      <c r="R125" s="293"/>
      <c r="S125" s="293"/>
      <c r="T125" s="293"/>
      <c r="U125" s="293"/>
      <c r="V125" s="293"/>
      <c r="W125" s="293"/>
      <c r="X125" s="293"/>
      <c r="Y125" s="293"/>
      <c r="Z125" s="293"/>
    </row>
    <row r="126" spans="11:26" x14ac:dyDescent="0.15">
      <c r="K126" s="293"/>
      <c r="L126" s="293"/>
      <c r="M126" s="293"/>
      <c r="N126" s="293"/>
      <c r="O126" s="293"/>
      <c r="P126" s="293"/>
      <c r="Q126" s="293"/>
      <c r="R126" s="293"/>
      <c r="S126" s="293"/>
      <c r="T126" s="293"/>
      <c r="U126" s="293"/>
      <c r="V126" s="293"/>
      <c r="W126" s="293"/>
      <c r="X126" s="293"/>
      <c r="Y126" s="293"/>
      <c r="Z126" s="293"/>
    </row>
    <row r="127" spans="11:26" x14ac:dyDescent="0.15">
      <c r="K127" s="293"/>
      <c r="L127" s="293"/>
      <c r="M127" s="293"/>
      <c r="N127" s="293"/>
      <c r="O127" s="293"/>
      <c r="P127" s="293"/>
      <c r="Q127" s="293"/>
      <c r="R127" s="293"/>
      <c r="S127" s="293"/>
      <c r="T127" s="293"/>
      <c r="U127" s="293"/>
      <c r="V127" s="293"/>
      <c r="W127" s="293"/>
      <c r="X127" s="293"/>
      <c r="Y127" s="293"/>
      <c r="Z127" s="293"/>
    </row>
    <row r="128" spans="11:26" x14ac:dyDescent="0.15">
      <c r="K128" s="293"/>
      <c r="L128" s="293" t="s">
        <v>566</v>
      </c>
      <c r="M128" s="293" t="s">
        <v>567</v>
      </c>
      <c r="N128" s="293" t="s">
        <v>568</v>
      </c>
      <c r="O128" s="293"/>
      <c r="P128" s="293"/>
      <c r="Q128" s="293"/>
      <c r="R128" s="293"/>
      <c r="S128" s="293"/>
      <c r="T128" s="293"/>
      <c r="U128" s="293"/>
      <c r="V128" s="293"/>
      <c r="W128" s="293"/>
      <c r="X128" s="293"/>
      <c r="Y128" s="293"/>
      <c r="Z128" s="293"/>
    </row>
    <row r="129" spans="11:26" x14ac:dyDescent="0.15">
      <c r="K129" s="293" t="s">
        <v>566</v>
      </c>
      <c r="L129" s="293">
        <v>1</v>
      </c>
      <c r="M129" s="293">
        <v>10000</v>
      </c>
      <c r="N129" s="293">
        <v>3599.9712002304</v>
      </c>
      <c r="O129" s="293"/>
      <c r="P129" s="293"/>
      <c r="Q129" s="293"/>
      <c r="R129" s="293"/>
      <c r="S129" s="293"/>
      <c r="T129" s="293"/>
      <c r="U129" s="293"/>
      <c r="V129" s="293"/>
      <c r="W129" s="293"/>
      <c r="X129" s="293"/>
      <c r="Y129" s="293"/>
      <c r="Z129" s="293"/>
    </row>
    <row r="130" spans="11:26" x14ac:dyDescent="0.15">
      <c r="K130" s="293" t="s">
        <v>567</v>
      </c>
      <c r="L130" s="293">
        <v>1E-4</v>
      </c>
      <c r="M130" s="293">
        <v>1</v>
      </c>
      <c r="N130" s="293">
        <v>0.35999712002304002</v>
      </c>
      <c r="O130" s="293"/>
      <c r="P130" s="293"/>
      <c r="Q130" s="293"/>
      <c r="R130" s="293"/>
      <c r="S130" s="293"/>
      <c r="T130" s="293"/>
      <c r="U130" s="293"/>
      <c r="V130" s="293"/>
      <c r="W130" s="293"/>
      <c r="X130" s="293"/>
      <c r="Y130" s="293"/>
      <c r="Z130" s="293"/>
    </row>
    <row r="131" spans="11:26" x14ac:dyDescent="0.15">
      <c r="K131" s="293" t="s">
        <v>568</v>
      </c>
      <c r="L131" s="293">
        <v>2.7777999999999999E-4</v>
      </c>
      <c r="M131" s="293">
        <v>2.7778</v>
      </c>
      <c r="N131" s="293">
        <v>1</v>
      </c>
      <c r="O131" s="293"/>
      <c r="P131" s="293"/>
      <c r="Q131" s="293"/>
      <c r="R131" s="293"/>
      <c r="S131" s="293"/>
      <c r="T131" s="293"/>
      <c r="U131" s="293"/>
      <c r="V131" s="293"/>
      <c r="W131" s="293"/>
      <c r="X131" s="293"/>
      <c r="Y131" s="293"/>
      <c r="Z131" s="293"/>
    </row>
    <row r="132" spans="11:26" x14ac:dyDescent="0.15">
      <c r="K132" s="293"/>
      <c r="L132" s="293"/>
      <c r="M132" s="293"/>
      <c r="N132" s="293"/>
      <c r="O132" s="293"/>
      <c r="P132" s="293"/>
      <c r="Q132" s="293"/>
      <c r="R132" s="293"/>
      <c r="S132" s="293"/>
      <c r="T132" s="293"/>
      <c r="U132" s="293"/>
      <c r="V132" s="293"/>
      <c r="W132" s="293"/>
      <c r="X132" s="293"/>
      <c r="Y132" s="293"/>
      <c r="Z132" s="293"/>
    </row>
    <row r="133" spans="11:26" x14ac:dyDescent="0.15">
      <c r="K133" s="293"/>
      <c r="L133" s="293"/>
      <c r="M133" s="293"/>
      <c r="N133" s="293"/>
      <c r="O133" s="293"/>
      <c r="P133" s="293"/>
      <c r="Q133" s="293"/>
      <c r="R133" s="293"/>
      <c r="S133" s="293"/>
      <c r="T133" s="293"/>
      <c r="U133" s="293"/>
      <c r="V133" s="293"/>
      <c r="W133" s="293"/>
      <c r="X133" s="293"/>
      <c r="Y133" s="293"/>
      <c r="Z133" s="293"/>
    </row>
    <row r="134" spans="11:26" x14ac:dyDescent="0.15">
      <c r="K134" s="293"/>
      <c r="L134" s="293" t="s">
        <v>569</v>
      </c>
      <c r="M134" s="293" t="s">
        <v>570</v>
      </c>
      <c r="N134" s="293" t="s">
        <v>571</v>
      </c>
      <c r="O134" s="293"/>
      <c r="P134" s="293"/>
      <c r="Q134" s="293"/>
      <c r="R134" s="293"/>
      <c r="S134" s="293"/>
      <c r="T134" s="293"/>
      <c r="U134" s="293"/>
      <c r="V134" s="293"/>
      <c r="W134" s="293"/>
      <c r="X134" s="293"/>
      <c r="Y134" s="293"/>
      <c r="Z134" s="293"/>
    </row>
    <row r="135" spans="11:26" x14ac:dyDescent="0.15">
      <c r="K135" s="293" t="s">
        <v>569</v>
      </c>
      <c r="L135" s="293">
        <v>1</v>
      </c>
      <c r="M135" s="293">
        <v>1000</v>
      </c>
      <c r="N135" s="293">
        <v>1.01971621297793</v>
      </c>
      <c r="O135" s="293"/>
      <c r="P135" s="293"/>
      <c r="Q135" s="293"/>
      <c r="R135" s="293"/>
      <c r="S135" s="293"/>
      <c r="T135" s="293"/>
      <c r="U135" s="293"/>
      <c r="V135" s="293"/>
      <c r="W135" s="293"/>
      <c r="X135" s="293"/>
      <c r="Y135" s="293"/>
      <c r="Z135" s="293"/>
    </row>
    <row r="136" spans="11:26" x14ac:dyDescent="0.15">
      <c r="K136" s="293" t="s">
        <v>570</v>
      </c>
      <c r="L136" s="293">
        <v>1E-3</v>
      </c>
      <c r="M136" s="293">
        <v>1</v>
      </c>
      <c r="N136" s="293">
        <v>1.0197162129779299E-3</v>
      </c>
      <c r="O136" s="293"/>
      <c r="P136" s="293"/>
      <c r="Q136" s="293"/>
      <c r="R136" s="293"/>
      <c r="S136" s="293"/>
      <c r="T136" s="293"/>
      <c r="U136" s="293"/>
      <c r="V136" s="293"/>
      <c r="W136" s="293"/>
      <c r="X136" s="293"/>
      <c r="Y136" s="293"/>
      <c r="Z136" s="293"/>
    </row>
    <row r="137" spans="11:26" x14ac:dyDescent="0.15">
      <c r="K137" s="293" t="s">
        <v>571</v>
      </c>
      <c r="L137" s="293">
        <v>0.98066500000000001</v>
      </c>
      <c r="M137" s="293">
        <v>980.66499999999996</v>
      </c>
      <c r="N137" s="293">
        <v>1</v>
      </c>
      <c r="O137" s="293"/>
      <c r="P137" s="293"/>
      <c r="Q137" s="293"/>
      <c r="R137" s="293"/>
      <c r="S137" s="293"/>
      <c r="T137" s="293"/>
      <c r="U137" s="293"/>
      <c r="V137" s="293"/>
      <c r="W137" s="293"/>
      <c r="X137" s="293"/>
      <c r="Y137" s="293"/>
      <c r="Z137" s="293"/>
    </row>
    <row r="138" spans="11:26" x14ac:dyDescent="0.15">
      <c r="K138" s="293"/>
      <c r="L138" s="293"/>
      <c r="M138" s="293"/>
      <c r="N138" s="293"/>
      <c r="O138" s="293"/>
      <c r="P138" s="293"/>
      <c r="Q138" s="293"/>
      <c r="R138" s="293"/>
      <c r="S138" s="293"/>
      <c r="T138" s="293"/>
      <c r="U138" s="293"/>
      <c r="V138" s="293"/>
      <c r="W138" s="293"/>
      <c r="X138" s="293"/>
      <c r="Y138" s="293"/>
      <c r="Z138" s="293"/>
    </row>
    <row r="139" spans="11:26" x14ac:dyDescent="0.15">
      <c r="K139" s="293"/>
      <c r="L139" s="293"/>
      <c r="M139" s="293"/>
      <c r="N139" s="293"/>
      <c r="O139" s="293"/>
      <c r="P139" s="293"/>
      <c r="Q139" s="293"/>
      <c r="R139" s="293"/>
      <c r="S139" s="293"/>
      <c r="T139" s="293"/>
      <c r="U139" s="293"/>
      <c r="V139" s="293"/>
      <c r="W139" s="293"/>
      <c r="X139" s="293"/>
      <c r="Y139" s="293"/>
      <c r="Z139" s="293"/>
    </row>
    <row r="140" spans="11:26" x14ac:dyDescent="0.15">
      <c r="K140" s="293"/>
      <c r="L140" s="293" t="s">
        <v>573</v>
      </c>
      <c r="M140" s="293" t="s">
        <v>574</v>
      </c>
      <c r="N140" s="293" t="s">
        <v>575</v>
      </c>
      <c r="O140" s="293" t="s">
        <v>576</v>
      </c>
      <c r="P140" s="293" t="s">
        <v>577</v>
      </c>
      <c r="Q140" s="293"/>
      <c r="R140" s="293"/>
      <c r="S140" s="293"/>
      <c r="T140" s="293"/>
      <c r="U140" s="293"/>
      <c r="V140" s="293"/>
      <c r="W140" s="293"/>
      <c r="X140" s="293"/>
      <c r="Y140" s="293"/>
      <c r="Z140" s="293"/>
    </row>
    <row r="141" spans="11:26" x14ac:dyDescent="0.15">
      <c r="K141" s="293" t="s">
        <v>573</v>
      </c>
      <c r="L141" s="293">
        <v>1</v>
      </c>
      <c r="M141" s="293">
        <v>1</v>
      </c>
      <c r="N141" s="293">
        <v>2.7777777777777799E-4</v>
      </c>
      <c r="O141" s="293">
        <v>6.2415063630940303E+18</v>
      </c>
      <c r="P141" s="293">
        <v>10000000</v>
      </c>
      <c r="Q141" s="293"/>
      <c r="R141" s="293"/>
      <c r="S141" s="293"/>
      <c r="T141" s="293"/>
      <c r="U141" s="293"/>
      <c r="V141" s="293"/>
      <c r="W141" s="293"/>
      <c r="X141" s="293"/>
      <c r="Y141" s="293"/>
      <c r="Z141" s="293"/>
    </row>
    <row r="142" spans="11:26" x14ac:dyDescent="0.15">
      <c r="K142" s="293" t="s">
        <v>574</v>
      </c>
      <c r="L142" s="293">
        <v>1</v>
      </c>
      <c r="M142" s="293">
        <v>1</v>
      </c>
      <c r="N142" s="293">
        <v>2.7777777777777799E-4</v>
      </c>
      <c r="O142" s="293">
        <v>6.2415063630940303E+18</v>
      </c>
      <c r="P142" s="293">
        <v>10000000</v>
      </c>
      <c r="Q142" s="293"/>
      <c r="R142" s="293"/>
      <c r="S142" s="293"/>
      <c r="T142" s="293"/>
      <c r="U142" s="293"/>
      <c r="V142" s="293"/>
      <c r="W142" s="293"/>
      <c r="X142" s="293"/>
      <c r="Y142" s="293"/>
      <c r="Z142" s="293"/>
    </row>
    <row r="143" spans="11:26" x14ac:dyDescent="0.15">
      <c r="K143" s="293" t="s">
        <v>575</v>
      </c>
      <c r="L143" s="293">
        <v>3600</v>
      </c>
      <c r="M143" s="293">
        <v>3600</v>
      </c>
      <c r="N143" s="293">
        <v>1</v>
      </c>
      <c r="O143" s="293">
        <v>2.24694229071385E+22</v>
      </c>
      <c r="P143" s="293">
        <v>36000000000</v>
      </c>
      <c r="Q143" s="293"/>
      <c r="R143" s="293"/>
      <c r="S143" s="293"/>
      <c r="T143" s="293"/>
      <c r="U143" s="293"/>
      <c r="V143" s="293"/>
      <c r="W143" s="293"/>
      <c r="X143" s="293"/>
      <c r="Y143" s="293"/>
      <c r="Z143" s="293"/>
    </row>
    <row r="144" spans="11:26" x14ac:dyDescent="0.15">
      <c r="K144" s="293" t="s">
        <v>576</v>
      </c>
      <c r="L144" s="293">
        <v>1.6021773299999999E-19</v>
      </c>
      <c r="M144" s="293">
        <v>1.6021773299999999E-19</v>
      </c>
      <c r="N144" s="293">
        <v>4.4504925833333303E-23</v>
      </c>
      <c r="O144" s="293">
        <v>1</v>
      </c>
      <c r="P144" s="293">
        <v>1.6021773300000001E-12</v>
      </c>
      <c r="Q144" s="293"/>
      <c r="R144" s="293"/>
      <c r="S144" s="293"/>
      <c r="T144" s="293"/>
      <c r="U144" s="293"/>
      <c r="V144" s="293"/>
      <c r="W144" s="293"/>
      <c r="X144" s="293"/>
      <c r="Y144" s="293"/>
      <c r="Z144" s="293"/>
    </row>
    <row r="145" spans="11:26" x14ac:dyDescent="0.15">
      <c r="K145" s="293" t="s">
        <v>577</v>
      </c>
      <c r="L145" s="293">
        <v>9.9999999999999995E-8</v>
      </c>
      <c r="M145" s="293">
        <v>9.9999999999999995E-8</v>
      </c>
      <c r="N145" s="293">
        <v>2.7777777777777799E-11</v>
      </c>
      <c r="O145" s="293">
        <v>624150636309.40295</v>
      </c>
      <c r="P145" s="293">
        <v>1</v>
      </c>
      <c r="Q145" s="293"/>
      <c r="R145" s="293"/>
      <c r="S145" s="293"/>
      <c r="T145" s="293"/>
      <c r="U145" s="293"/>
      <c r="V145" s="293"/>
      <c r="W145" s="293"/>
      <c r="X145" s="293"/>
      <c r="Y145" s="293"/>
      <c r="Z145" s="293"/>
    </row>
    <row r="146" spans="11:26" x14ac:dyDescent="0.15">
      <c r="K146" s="293"/>
      <c r="L146" s="293"/>
      <c r="M146" s="293"/>
      <c r="N146" s="293"/>
      <c r="O146" s="293"/>
      <c r="P146" s="293"/>
      <c r="Q146" s="293"/>
      <c r="R146" s="293"/>
      <c r="S146" s="293"/>
      <c r="T146" s="293"/>
      <c r="U146" s="293"/>
      <c r="V146" s="293"/>
      <c r="W146" s="293"/>
      <c r="X146" s="293"/>
      <c r="Y146" s="293"/>
      <c r="Z146" s="293"/>
    </row>
    <row r="147" spans="11:26" x14ac:dyDescent="0.15">
      <c r="K147" s="293"/>
      <c r="L147" s="293"/>
      <c r="M147" s="293"/>
      <c r="N147" s="293"/>
      <c r="O147" s="293"/>
      <c r="P147" s="293"/>
      <c r="Q147" s="293"/>
      <c r="R147" s="293"/>
      <c r="S147" s="293"/>
      <c r="T147" s="293"/>
      <c r="U147" s="293"/>
      <c r="V147" s="293"/>
      <c r="W147" s="293"/>
      <c r="X147" s="293"/>
      <c r="Y147" s="293"/>
      <c r="Z147" s="293"/>
    </row>
    <row r="148" spans="11:26" x14ac:dyDescent="0.15">
      <c r="K148" s="293"/>
      <c r="L148" s="293" t="s">
        <v>579</v>
      </c>
      <c r="M148" s="293" t="s">
        <v>580</v>
      </c>
      <c r="N148" s="293" t="s">
        <v>581</v>
      </c>
      <c r="O148" s="293" t="s">
        <v>582</v>
      </c>
      <c r="P148" s="293"/>
      <c r="Q148" s="293"/>
      <c r="R148" s="293"/>
      <c r="S148" s="293"/>
      <c r="T148" s="293"/>
      <c r="U148" s="293"/>
      <c r="V148" s="293"/>
      <c r="W148" s="293"/>
      <c r="X148" s="293"/>
      <c r="Y148" s="293"/>
      <c r="Z148" s="293"/>
    </row>
    <row r="149" spans="11:26" x14ac:dyDescent="0.15">
      <c r="K149" s="293" t="s">
        <v>579</v>
      </c>
      <c r="L149" s="293">
        <v>1</v>
      </c>
      <c r="M149" s="293">
        <v>0.101971621297793</v>
      </c>
      <c r="N149" s="293">
        <v>1.3596193065941501E-3</v>
      </c>
      <c r="O149" s="293">
        <v>1.3410218586562999E-3</v>
      </c>
      <c r="P149" s="293"/>
      <c r="Q149" s="293"/>
      <c r="R149" s="293"/>
      <c r="S149" s="293"/>
      <c r="T149" s="293"/>
      <c r="U149" s="293"/>
      <c r="V149" s="293"/>
      <c r="W149" s="293"/>
      <c r="X149" s="293"/>
      <c r="Y149" s="293"/>
      <c r="Z149" s="293"/>
    </row>
    <row r="150" spans="11:26" x14ac:dyDescent="0.15">
      <c r="K150" s="293" t="s">
        <v>580</v>
      </c>
      <c r="L150" s="293">
        <v>9.8066499999999994</v>
      </c>
      <c r="M150" s="293">
        <v>1</v>
      </c>
      <c r="N150" s="293">
        <v>1.3333310673011601E-2</v>
      </c>
      <c r="O150" s="293">
        <v>1.3150932010191799E-2</v>
      </c>
      <c r="P150" s="293"/>
      <c r="Q150" s="293"/>
      <c r="R150" s="293"/>
      <c r="S150" s="293"/>
      <c r="T150" s="293"/>
      <c r="U150" s="293"/>
      <c r="V150" s="293"/>
      <c r="W150" s="293"/>
      <c r="X150" s="293"/>
      <c r="Y150" s="293"/>
      <c r="Z150" s="293"/>
    </row>
    <row r="151" spans="11:26" x14ac:dyDescent="0.15">
      <c r="K151" s="293" t="s">
        <v>581</v>
      </c>
      <c r="L151" s="293">
        <v>735.5</v>
      </c>
      <c r="M151" s="293">
        <v>75.000127464526599</v>
      </c>
      <c r="N151" s="293">
        <v>1</v>
      </c>
      <c r="O151" s="293">
        <v>0.98632157704170598</v>
      </c>
      <c r="P151" s="293"/>
      <c r="Q151" s="293"/>
      <c r="R151" s="293"/>
      <c r="S151" s="293"/>
      <c r="T151" s="293"/>
      <c r="U151" s="293"/>
      <c r="V151" s="293"/>
      <c r="W151" s="293"/>
      <c r="X151" s="293"/>
      <c r="Y151" s="293"/>
      <c r="Z151" s="293"/>
    </row>
    <row r="152" spans="11:26" x14ac:dyDescent="0.15">
      <c r="K152" s="293" t="s">
        <v>582</v>
      </c>
      <c r="L152" s="293">
        <v>745.7</v>
      </c>
      <c r="M152" s="293">
        <v>76.040238001764095</v>
      </c>
      <c r="N152" s="293">
        <v>1.0138681169272601</v>
      </c>
      <c r="O152" s="293">
        <v>1</v>
      </c>
      <c r="P152" s="293"/>
      <c r="Q152" s="293"/>
      <c r="R152" s="293"/>
      <c r="S152" s="293"/>
      <c r="T152" s="293"/>
      <c r="U152" s="293"/>
      <c r="V152" s="293"/>
      <c r="W152" s="293"/>
      <c r="X152" s="293"/>
      <c r="Y152" s="293"/>
      <c r="Z152" s="293"/>
    </row>
    <row r="153" spans="11:26" x14ac:dyDescent="0.15">
      <c r="K153" s="293"/>
      <c r="L153" s="293"/>
      <c r="M153" s="293"/>
      <c r="N153" s="293"/>
      <c r="O153" s="293"/>
      <c r="P153" s="293"/>
      <c r="Q153" s="293"/>
      <c r="R153" s="293"/>
      <c r="S153" s="293"/>
      <c r="T153" s="293"/>
      <c r="U153" s="293"/>
      <c r="V153" s="293"/>
      <c r="W153" s="293"/>
      <c r="X153" s="293"/>
      <c r="Y153" s="293"/>
      <c r="Z153" s="293"/>
    </row>
    <row r="154" spans="11:26" x14ac:dyDescent="0.15">
      <c r="K154" s="293"/>
      <c r="L154" s="293"/>
      <c r="M154" s="293"/>
      <c r="N154" s="293"/>
      <c r="O154" s="293"/>
      <c r="P154" s="293"/>
      <c r="Q154" s="293"/>
      <c r="R154" s="293"/>
      <c r="S154" s="293"/>
      <c r="T154" s="293"/>
      <c r="U154" s="293"/>
      <c r="V154" s="293"/>
      <c r="W154" s="293"/>
      <c r="X154" s="293"/>
      <c r="Y154" s="293"/>
      <c r="Z154" s="293"/>
    </row>
    <row r="155" spans="11:26" x14ac:dyDescent="0.15">
      <c r="K155" s="293"/>
      <c r="L155" s="293" t="s">
        <v>584</v>
      </c>
      <c r="M155" s="293" t="s">
        <v>583</v>
      </c>
      <c r="N155" s="293"/>
      <c r="O155" s="293"/>
      <c r="P155" s="293"/>
      <c r="Q155" s="293"/>
      <c r="R155" s="293"/>
      <c r="S155" s="293"/>
      <c r="T155" s="293"/>
      <c r="U155" s="293"/>
      <c r="V155" s="293"/>
      <c r="W155" s="293"/>
      <c r="X155" s="293"/>
      <c r="Y155" s="293"/>
      <c r="Z155" s="293"/>
    </row>
    <row r="156" spans="11:26" x14ac:dyDescent="0.15">
      <c r="K156" s="293" t="s">
        <v>584</v>
      </c>
      <c r="L156" s="293">
        <v>1</v>
      </c>
      <c r="M156" s="293">
        <v>2.2956841138659301</v>
      </c>
      <c r="N156" s="293"/>
      <c r="O156" s="293"/>
      <c r="P156" s="293"/>
      <c r="Q156" s="293"/>
      <c r="R156" s="293"/>
      <c r="S156" s="293"/>
      <c r="T156" s="293"/>
      <c r="U156" s="293"/>
      <c r="V156" s="293"/>
      <c r="W156" s="293"/>
      <c r="X156" s="293"/>
      <c r="Y156" s="293"/>
      <c r="Z156" s="293"/>
    </row>
    <row r="157" spans="11:26" x14ac:dyDescent="0.15">
      <c r="K157" s="293" t="s">
        <v>583</v>
      </c>
      <c r="L157" s="293">
        <v>0.43559999999999999</v>
      </c>
      <c r="M157" s="293">
        <v>1</v>
      </c>
      <c r="N157" s="293"/>
      <c r="O157" s="293"/>
      <c r="P157" s="293"/>
      <c r="Q157" s="293"/>
      <c r="R157" s="293"/>
      <c r="S157" s="293"/>
      <c r="T157" s="293"/>
      <c r="U157" s="293"/>
      <c r="V157" s="293"/>
      <c r="W157" s="293"/>
      <c r="X157" s="293"/>
      <c r="Y157" s="293"/>
      <c r="Z157" s="293"/>
    </row>
    <row r="158" spans="11:26" x14ac:dyDescent="0.15">
      <c r="K158" s="293"/>
      <c r="L158" s="293"/>
      <c r="M158" s="293"/>
      <c r="N158" s="293"/>
      <c r="O158" s="293"/>
      <c r="P158" s="293"/>
      <c r="Q158" s="293"/>
      <c r="R158" s="293"/>
      <c r="S158" s="293"/>
      <c r="T158" s="293"/>
      <c r="U158" s="293"/>
      <c r="V158" s="293"/>
      <c r="W158" s="293"/>
      <c r="X158" s="293"/>
      <c r="Y158" s="293"/>
      <c r="Z158" s="293"/>
    </row>
    <row r="159" spans="11:26" x14ac:dyDescent="0.15">
      <c r="K159" s="293"/>
      <c r="L159" s="293"/>
      <c r="M159" s="293"/>
      <c r="N159" s="293"/>
      <c r="O159" s="293"/>
      <c r="P159" s="293"/>
      <c r="Q159" s="293"/>
      <c r="R159" s="293"/>
      <c r="S159" s="293"/>
      <c r="T159" s="293"/>
      <c r="U159" s="293"/>
      <c r="V159" s="293"/>
      <c r="W159" s="293"/>
      <c r="X159" s="293"/>
      <c r="Y159" s="293"/>
      <c r="Z159" s="293"/>
    </row>
    <row r="160" spans="11:26" x14ac:dyDescent="0.15">
      <c r="K160" s="293"/>
      <c r="L160" s="293" t="s">
        <v>586</v>
      </c>
      <c r="M160" s="293" t="s">
        <v>585</v>
      </c>
      <c r="N160" s="293"/>
      <c r="O160" s="293"/>
      <c r="P160" s="293"/>
      <c r="Q160" s="293"/>
      <c r="R160" s="293"/>
      <c r="S160" s="293"/>
      <c r="T160" s="293"/>
      <c r="U160" s="293"/>
      <c r="V160" s="293"/>
      <c r="W160" s="293"/>
      <c r="X160" s="293"/>
      <c r="Y160" s="293"/>
      <c r="Z160" s="293"/>
    </row>
    <row r="161" spans="11:26" x14ac:dyDescent="0.15">
      <c r="K161" s="293" t="s">
        <v>586</v>
      </c>
      <c r="L161" s="293">
        <v>1</v>
      </c>
      <c r="M161" s="293">
        <v>35.314667459787003</v>
      </c>
      <c r="N161" s="293"/>
      <c r="O161" s="293"/>
      <c r="P161" s="293"/>
      <c r="Q161" s="293"/>
      <c r="R161" s="293"/>
      <c r="S161" s="293"/>
      <c r="T161" s="293"/>
      <c r="U161" s="293"/>
      <c r="V161" s="293"/>
      <c r="W161" s="293"/>
      <c r="X161" s="293"/>
      <c r="Y161" s="293"/>
      <c r="Z161" s="293"/>
    </row>
    <row r="162" spans="11:26" x14ac:dyDescent="0.15">
      <c r="K162" s="293" t="s">
        <v>585</v>
      </c>
      <c r="L162" s="293">
        <v>2.8316846E-2</v>
      </c>
      <c r="M162" s="293">
        <v>1</v>
      </c>
      <c r="N162" s="293"/>
      <c r="O162" s="293"/>
      <c r="P162" s="293"/>
      <c r="Q162" s="293"/>
      <c r="R162" s="293"/>
      <c r="S162" s="293"/>
      <c r="T162" s="293"/>
      <c r="U162" s="293"/>
      <c r="V162" s="293"/>
      <c r="W162" s="293"/>
      <c r="X162" s="293"/>
      <c r="Y162" s="293"/>
      <c r="Z162" s="293"/>
    </row>
    <row r="163" spans="11:26" x14ac:dyDescent="0.15">
      <c r="K163" s="293"/>
      <c r="L163" s="293"/>
      <c r="M163" s="293"/>
      <c r="N163" s="293"/>
      <c r="O163" s="293"/>
      <c r="P163" s="293"/>
      <c r="Q163" s="293"/>
      <c r="R163" s="293"/>
      <c r="S163" s="293"/>
      <c r="T163" s="293"/>
      <c r="U163" s="293"/>
      <c r="V163" s="293"/>
      <c r="W163" s="293"/>
      <c r="X163" s="293"/>
      <c r="Y163" s="293"/>
      <c r="Z163" s="293"/>
    </row>
    <row r="164" spans="11:26" x14ac:dyDescent="0.15">
      <c r="K164" s="293"/>
      <c r="L164" s="293"/>
      <c r="M164" s="293"/>
      <c r="N164" s="293"/>
      <c r="O164" s="293"/>
      <c r="P164" s="293"/>
      <c r="Q164" s="293"/>
      <c r="R164" s="293"/>
      <c r="S164" s="293"/>
      <c r="T164" s="293"/>
      <c r="U164" s="293"/>
      <c r="V164" s="293"/>
      <c r="W164" s="293"/>
      <c r="X164" s="293"/>
      <c r="Y164" s="293"/>
      <c r="Z164" s="293"/>
    </row>
    <row r="165" spans="11:26" x14ac:dyDescent="0.15">
      <c r="K165" s="293"/>
      <c r="L165" s="293" t="s">
        <v>587</v>
      </c>
      <c r="M165" s="293" t="s">
        <v>588</v>
      </c>
      <c r="N165" s="293" t="s">
        <v>589</v>
      </c>
      <c r="O165" s="293"/>
      <c r="P165" s="293"/>
      <c r="Q165" s="293"/>
      <c r="R165" s="293"/>
      <c r="S165" s="293"/>
      <c r="T165" s="293"/>
      <c r="U165" s="293"/>
      <c r="V165" s="293"/>
      <c r="W165" s="293"/>
      <c r="X165" s="293"/>
      <c r="Y165" s="293"/>
      <c r="Z165" s="293"/>
    </row>
    <row r="166" spans="11:26" x14ac:dyDescent="0.15">
      <c r="K166" s="293" t="s">
        <v>587</v>
      </c>
      <c r="L166" s="293">
        <v>1</v>
      </c>
      <c r="M166" s="293">
        <v>-272.14999999999998</v>
      </c>
      <c r="N166" s="293">
        <v>-457.87000489870002</v>
      </c>
      <c r="O166" s="293"/>
      <c r="P166" s="293"/>
      <c r="Q166" s="293"/>
      <c r="R166" s="293"/>
      <c r="S166" s="293"/>
      <c r="T166" s="293"/>
      <c r="U166" s="293"/>
      <c r="V166" s="293"/>
      <c r="W166" s="293"/>
      <c r="X166" s="293"/>
      <c r="Y166" s="293"/>
      <c r="Z166" s="293"/>
    </row>
    <row r="167" spans="11:26" x14ac:dyDescent="0.15">
      <c r="K167" s="293" t="s">
        <v>588</v>
      </c>
      <c r="L167" s="293">
        <v>274.14999999999998</v>
      </c>
      <c r="M167" s="293">
        <v>1</v>
      </c>
      <c r="N167" s="293">
        <v>33.800000017999999</v>
      </c>
      <c r="O167" s="293"/>
      <c r="P167" s="293"/>
      <c r="Q167" s="293"/>
      <c r="R167" s="293"/>
      <c r="S167" s="293"/>
      <c r="T167" s="293"/>
      <c r="U167" s="293"/>
      <c r="V167" s="293"/>
      <c r="W167" s="293"/>
      <c r="X167" s="293"/>
      <c r="Y167" s="293"/>
      <c r="Z167" s="293"/>
    </row>
    <row r="168" spans="11:26" x14ac:dyDescent="0.15">
      <c r="K168" s="293" t="s">
        <v>589</v>
      </c>
      <c r="L168" s="293">
        <v>255.92777795000001</v>
      </c>
      <c r="M168" s="293">
        <v>-17.222222049999999</v>
      </c>
      <c r="N168" s="293">
        <v>1</v>
      </c>
      <c r="O168" s="293"/>
      <c r="P168" s="293"/>
      <c r="Q168" s="293"/>
      <c r="R168" s="293"/>
      <c r="S168" s="293"/>
      <c r="T168" s="293"/>
      <c r="U168" s="293"/>
      <c r="V168" s="293"/>
      <c r="W168" s="293"/>
      <c r="X168" s="293"/>
      <c r="Y168" s="293"/>
      <c r="Z168" s="293"/>
    </row>
    <row r="169" spans="11:26" x14ac:dyDescent="0.15">
      <c r="K169" s="293"/>
      <c r="L169" s="293"/>
      <c r="M169" s="293"/>
      <c r="N169" s="293"/>
      <c r="O169" s="293"/>
      <c r="P169" s="293"/>
      <c r="Q169" s="293"/>
      <c r="R169" s="293"/>
      <c r="S169" s="293"/>
      <c r="T169" s="293"/>
      <c r="U169" s="293"/>
      <c r="V169" s="293"/>
      <c r="W169" s="293"/>
      <c r="X169" s="293"/>
      <c r="Y169" s="293"/>
      <c r="Z169" s="293"/>
    </row>
  </sheetData>
  <mergeCells count="1">
    <mergeCell ref="C1:H1"/>
  </mergeCells>
  <phoneticPr fontId="1"/>
  <dataValidations count="46">
    <dataValidation type="list" allowBlank="1" showInputMessage="1" showErrorMessage="1" sqref="C6">
      <formula1>$K$6:$K$20</formula1>
    </dataValidation>
    <dataValidation type="list" allowBlank="1" showInputMessage="1" showErrorMessage="1" sqref="G6">
      <formula1>$L$5:$Z$5</formula1>
    </dataValidation>
    <dataValidation type="list" allowBlank="1" showInputMessage="1" showErrorMessage="1" sqref="C8">
      <formula1>$K$24:$K$25</formula1>
    </dataValidation>
    <dataValidation type="list" allowBlank="1" showInputMessage="1" showErrorMessage="1" sqref="G8">
      <formula1>$L$23:$M$23</formula1>
    </dataValidation>
    <dataValidation type="list" allowBlank="1" showInputMessage="1" showErrorMessage="1" sqref="C10">
      <formula1>$K$29:$K$35</formula1>
    </dataValidation>
    <dataValidation type="list" allowBlank="1" showInputMessage="1" showErrorMessage="1" sqref="G10">
      <formula1>$L$28:$R$28</formula1>
    </dataValidation>
    <dataValidation type="list" allowBlank="1" showInputMessage="1" showErrorMessage="1" sqref="C12">
      <formula1>$K$39:$K$46</formula1>
    </dataValidation>
    <dataValidation type="list" allowBlank="1" showInputMessage="1" showErrorMessage="1" sqref="G12">
      <formula1>$L$38:$S$38</formula1>
    </dataValidation>
    <dataValidation type="list" allowBlank="1" showInputMessage="1" showErrorMessage="1" sqref="C14">
      <formula1>$K$50:$K$54</formula1>
    </dataValidation>
    <dataValidation type="list" allowBlank="1" showInputMessage="1" showErrorMessage="1" sqref="G14">
      <formula1>$L$49:$P$49</formula1>
    </dataValidation>
    <dataValidation type="list" allowBlank="1" showInputMessage="1" showErrorMessage="1" sqref="C16">
      <formula1>$K$58:$K$60</formula1>
    </dataValidation>
    <dataValidation type="list" allowBlank="1" showInputMessage="1" showErrorMessage="1" sqref="G16">
      <formula1>$L$57:$N$57</formula1>
    </dataValidation>
    <dataValidation type="list" allowBlank="1" showInputMessage="1" showErrorMessage="1" sqref="C18">
      <formula1>$K$64:$K$66</formula1>
    </dataValidation>
    <dataValidation type="list" allowBlank="1" showInputMessage="1" showErrorMessage="1" sqref="G18">
      <formula1>$L$63:$N$63</formula1>
    </dataValidation>
    <dataValidation type="list" allowBlank="1" showInputMessage="1" showErrorMessage="1" sqref="C20">
      <formula1>$K$70:$K$77</formula1>
    </dataValidation>
    <dataValidation type="list" allowBlank="1" showInputMessage="1" showErrorMessage="1" sqref="G20">
      <formula1>$L$69:$S$69</formula1>
    </dataValidation>
    <dataValidation type="list" allowBlank="1" showInputMessage="1" showErrorMessage="1" sqref="C22">
      <formula1>$K$81:$K$82</formula1>
    </dataValidation>
    <dataValidation type="list" allowBlank="1" showInputMessage="1" showErrorMessage="1" sqref="G22">
      <formula1>$L$80:$M$80</formula1>
    </dataValidation>
    <dataValidation type="list" allowBlank="1" showInputMessage="1" showErrorMessage="1" sqref="C24">
      <formula1>$K$86:$K$87</formula1>
    </dataValidation>
    <dataValidation type="list" allowBlank="1" showInputMessage="1" showErrorMessage="1" sqref="G24">
      <formula1>$L$85:$M$85</formula1>
    </dataValidation>
    <dataValidation type="list" allowBlank="1" showInputMessage="1" showErrorMessage="1" sqref="C26">
      <formula1>$K$91:$K$92</formula1>
    </dataValidation>
    <dataValidation type="list" allowBlank="1" showInputMessage="1" showErrorMessage="1" sqref="G26">
      <formula1>$L$90:$M$90</formula1>
    </dataValidation>
    <dataValidation type="list" allowBlank="1" showInputMessage="1" showErrorMessage="1" sqref="C28">
      <formula1>$K$96:$K$97</formula1>
    </dataValidation>
    <dataValidation type="list" allowBlank="1" showInputMessage="1" showErrorMessage="1" sqref="G28">
      <formula1>$L$95:$M$95</formula1>
    </dataValidation>
    <dataValidation type="list" allowBlank="1" showInputMessage="1" showErrorMessage="1" sqref="C32">
      <formula1>$K$107:$K$110</formula1>
    </dataValidation>
    <dataValidation type="list" allowBlank="1" showInputMessage="1" showErrorMessage="1" sqref="G30">
      <formula1>$L$100:$N$100</formula1>
    </dataValidation>
    <dataValidation type="list" allowBlank="1" showInputMessage="1" showErrorMessage="1" sqref="G34">
      <formula1>$L$113:$Q$113</formula1>
    </dataValidation>
    <dataValidation type="list" allowBlank="1" showInputMessage="1" showErrorMessage="1" sqref="C34">
      <formula1>$K$114:$K$119</formula1>
    </dataValidation>
    <dataValidation type="list" allowBlank="1" showInputMessage="1" showErrorMessage="1" sqref="C30">
      <formula1>$K$101:$K$103</formula1>
    </dataValidation>
    <dataValidation type="list" allowBlank="1" showInputMessage="1" showErrorMessage="1" sqref="G32">
      <formula1>$L$106:$O$106</formula1>
    </dataValidation>
    <dataValidation type="list" allowBlank="1" showInputMessage="1" showErrorMessage="1" sqref="C36">
      <formula1>$K$123:$K$125</formula1>
    </dataValidation>
    <dataValidation type="list" allowBlank="1" showInputMessage="1" showErrorMessage="1" sqref="G36">
      <formula1>$L$122:$N$122</formula1>
    </dataValidation>
    <dataValidation type="list" allowBlank="1" showInputMessage="1" showErrorMessage="1" sqref="C38">
      <formula1>$K$129:$K$131</formula1>
    </dataValidation>
    <dataValidation type="list" allowBlank="1" showInputMessage="1" showErrorMessage="1" sqref="G38">
      <formula1>$L$128:$N$128</formula1>
    </dataValidation>
    <dataValidation type="list" allowBlank="1" showInputMessage="1" showErrorMessage="1" sqref="C40">
      <formula1>$K$135:$K$137</formula1>
    </dataValidation>
    <dataValidation type="list" allowBlank="1" showInputMessage="1" showErrorMessage="1" sqref="G40">
      <formula1>$L$134:$N$134</formula1>
    </dataValidation>
    <dataValidation type="list" allowBlank="1" showInputMessage="1" showErrorMessage="1" sqref="C42">
      <formula1>$K$141:$K$145</formula1>
    </dataValidation>
    <dataValidation type="list" allowBlank="1" showInputMessage="1" showErrorMessage="1" sqref="G42">
      <formula1>$L$140:$P$140</formula1>
    </dataValidation>
    <dataValidation type="list" allowBlank="1" showInputMessage="1" showErrorMessage="1" sqref="C44">
      <formula1>$K$149:$K$152</formula1>
    </dataValidation>
    <dataValidation type="list" allowBlank="1" showInputMessage="1" showErrorMessage="1" sqref="G44">
      <formula1>$L$148:$O$148</formula1>
    </dataValidation>
    <dataValidation type="list" allowBlank="1" showInputMessage="1" showErrorMessage="1" sqref="C46">
      <formula1>$K$156:$K$157</formula1>
    </dataValidation>
    <dataValidation type="list" allowBlank="1" showInputMessage="1" showErrorMessage="1" sqref="G46">
      <formula1>$L$155:$M$155</formula1>
    </dataValidation>
    <dataValidation type="list" allowBlank="1" showInputMessage="1" showErrorMessage="1" sqref="C48">
      <formula1>$K$161:$K$162</formula1>
    </dataValidation>
    <dataValidation type="list" allowBlank="1" showInputMessage="1" showErrorMessage="1" sqref="G48">
      <formula1>$L$160:$M$160</formula1>
    </dataValidation>
    <dataValidation type="list" allowBlank="1" showInputMessage="1" showErrorMessage="1" sqref="C50">
      <formula1>$K$166:$K$168</formula1>
    </dataValidation>
    <dataValidation type="list" allowBlank="1" showInputMessage="1" showErrorMessage="1" sqref="G50">
      <formula1>$L$165:$N$165</formula1>
    </dataValidation>
  </dataValidations>
  <pageMargins left="0.7" right="0.7" top="0.75" bottom="0.75" header="0.3" footer="0.3"/>
  <pageSetup paperSize="9" orientation="portrait" horizontalDpi="4294967292" verticalDpi="4294967292"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44"/>
  <sheetViews>
    <sheetView workbookViewId="0">
      <selection activeCell="G1" sqref="G1"/>
    </sheetView>
  </sheetViews>
  <sheetFormatPr defaultRowHeight="13.5" outlineLevelCol="1" x14ac:dyDescent="0.15"/>
  <cols>
    <col min="1" max="7" width="12.625" customWidth="1"/>
    <col min="8" max="8" width="8.625" hidden="1" customWidth="1" outlineLevel="1"/>
    <col min="9" max="9" width="9" hidden="1" customWidth="1" outlineLevel="1"/>
    <col min="10" max="10" width="8.625" hidden="1" customWidth="1" outlineLevel="1"/>
    <col min="11" max="13" width="9" hidden="1" customWidth="1" outlineLevel="1"/>
    <col min="14" max="15" width="8.625" hidden="1" customWidth="1" outlineLevel="1"/>
    <col min="16" max="17" width="9" hidden="1" customWidth="1" outlineLevel="1"/>
    <col min="18" max="19" width="8.625" hidden="1" customWidth="1" outlineLevel="1"/>
    <col min="20" max="20" width="9" hidden="1" customWidth="1" outlineLevel="1"/>
    <col min="21" max="21" width="8.625" hidden="1" customWidth="1" outlineLevel="1"/>
    <col min="22" max="22" width="9" collapsed="1"/>
  </cols>
  <sheetData>
    <row r="1" spans="1:21" ht="17.25" x14ac:dyDescent="0.15">
      <c r="C1" s="120" t="s">
        <v>482</v>
      </c>
      <c r="G1" s="222" t="s">
        <v>1649</v>
      </c>
    </row>
    <row r="2" spans="1:21" x14ac:dyDescent="0.15">
      <c r="B2" s="13" t="s">
        <v>541</v>
      </c>
      <c r="G2" s="68"/>
    </row>
    <row r="3" spans="1:21" x14ac:dyDescent="0.15">
      <c r="B3" s="13" t="s">
        <v>542</v>
      </c>
      <c r="C3" s="229" t="s">
        <v>623</v>
      </c>
      <c r="D3" s="229"/>
      <c r="E3" s="229"/>
    </row>
    <row r="4" spans="1:21" ht="14.25" thickBot="1" x14ac:dyDescent="0.2">
      <c r="B4" s="13" t="s">
        <v>476</v>
      </c>
      <c r="C4" s="13" t="s">
        <v>479</v>
      </c>
      <c r="D4" s="13" t="s">
        <v>480</v>
      </c>
      <c r="E4" s="13" t="s">
        <v>481</v>
      </c>
      <c r="F4" s="2"/>
    </row>
    <row r="5" spans="1:21" ht="14.25" thickBot="1" x14ac:dyDescent="0.2">
      <c r="B5" s="140">
        <v>1952</v>
      </c>
      <c r="C5" s="141" t="str">
        <f>IF(B5="","",VLOOKUP(B5,H5:I108,2,FALSE))</f>
        <v>昭和27</v>
      </c>
      <c r="D5" s="141">
        <f ca="1">IF(B5="","",VLOOKUP(B5,H5:K108,3,FALSE))</f>
        <v>69</v>
      </c>
      <c r="E5" s="141" t="str">
        <f>IF(B5="","",VLOOKUP(B5,H5:K108,4,FALSE))</f>
        <v>辰</v>
      </c>
      <c r="H5" s="65">
        <v>1916</v>
      </c>
      <c r="I5" s="74" t="s">
        <v>360</v>
      </c>
      <c r="J5" s="65">
        <f ca="1">DATEDIF(H5,TODAY(),"y")-11</f>
        <v>105</v>
      </c>
      <c r="K5" s="74" t="s">
        <v>361</v>
      </c>
      <c r="L5" s="65"/>
      <c r="M5" s="74" t="s">
        <v>360</v>
      </c>
      <c r="N5" s="65">
        <v>1916</v>
      </c>
      <c r="O5" s="65">
        <f ca="1">DATEDIF(N5,TODAY(),"y")-11</f>
        <v>105</v>
      </c>
      <c r="P5" s="74" t="s">
        <v>361</v>
      </c>
      <c r="Q5" s="65"/>
      <c r="R5" s="65">
        <f ca="1">DATEDIF(S5,TODAY(),"y")-11</f>
        <v>105</v>
      </c>
      <c r="S5" s="65">
        <v>1916</v>
      </c>
      <c r="T5" s="74" t="s">
        <v>360</v>
      </c>
      <c r="U5" s="65" t="s">
        <v>361</v>
      </c>
    </row>
    <row r="6" spans="1:21" x14ac:dyDescent="0.15">
      <c r="H6" s="65">
        <v>1917</v>
      </c>
      <c r="I6" s="74" t="s">
        <v>506</v>
      </c>
      <c r="J6" s="65">
        <f t="shared" ref="J6:J37" ca="1" si="0">J5-1</f>
        <v>104</v>
      </c>
      <c r="K6" s="74" t="s">
        <v>363</v>
      </c>
      <c r="L6" s="65"/>
      <c r="M6" s="74" t="s">
        <v>362</v>
      </c>
      <c r="N6" s="65">
        <v>1917</v>
      </c>
      <c r="O6" s="65">
        <f t="shared" ref="O6:O69" ca="1" si="1">O5-1</f>
        <v>104</v>
      </c>
      <c r="P6" s="74" t="s">
        <v>363</v>
      </c>
      <c r="Q6" s="65"/>
      <c r="R6" s="65">
        <f t="shared" ref="R6:R69" ca="1" si="2">R5-1</f>
        <v>104</v>
      </c>
      <c r="S6" s="65">
        <v>1917</v>
      </c>
      <c r="T6" s="74" t="s">
        <v>362</v>
      </c>
      <c r="U6" s="65" t="s">
        <v>363</v>
      </c>
    </row>
    <row r="7" spans="1:21" x14ac:dyDescent="0.15">
      <c r="H7" s="65">
        <v>1918</v>
      </c>
      <c r="I7" s="74" t="s">
        <v>364</v>
      </c>
      <c r="J7" s="65">
        <f t="shared" ca="1" si="0"/>
        <v>103</v>
      </c>
      <c r="K7" s="74" t="s">
        <v>365</v>
      </c>
      <c r="L7" s="65"/>
      <c r="M7" s="74" t="s">
        <v>364</v>
      </c>
      <c r="N7" s="65">
        <v>1918</v>
      </c>
      <c r="O7" s="65">
        <f t="shared" ca="1" si="1"/>
        <v>103</v>
      </c>
      <c r="P7" s="74" t="s">
        <v>365</v>
      </c>
      <c r="Q7" s="65"/>
      <c r="R7" s="65">
        <f t="shared" ca="1" si="2"/>
        <v>103</v>
      </c>
      <c r="S7" s="65">
        <v>1918</v>
      </c>
      <c r="T7" s="74" t="s">
        <v>364</v>
      </c>
      <c r="U7" s="65" t="s">
        <v>365</v>
      </c>
    </row>
    <row r="8" spans="1:21" ht="14.25" thickBot="1" x14ac:dyDescent="0.2">
      <c r="B8" s="13" t="s">
        <v>477</v>
      </c>
      <c r="C8" s="13" t="s">
        <v>483</v>
      </c>
      <c r="D8" s="13" t="s">
        <v>480</v>
      </c>
      <c r="E8" s="13" t="s">
        <v>481</v>
      </c>
      <c r="H8" s="65">
        <v>1919</v>
      </c>
      <c r="I8" s="74" t="s">
        <v>366</v>
      </c>
      <c r="J8" s="65">
        <f t="shared" ca="1" si="0"/>
        <v>102</v>
      </c>
      <c r="K8" s="74" t="s">
        <v>367</v>
      </c>
      <c r="L8" s="65"/>
      <c r="M8" s="74" t="s">
        <v>366</v>
      </c>
      <c r="N8" s="65">
        <v>1919</v>
      </c>
      <c r="O8" s="65">
        <f t="shared" ca="1" si="1"/>
        <v>102</v>
      </c>
      <c r="P8" s="74" t="s">
        <v>367</v>
      </c>
      <c r="Q8" s="65"/>
      <c r="R8" s="65">
        <f t="shared" ca="1" si="2"/>
        <v>102</v>
      </c>
      <c r="S8" s="65">
        <v>1919</v>
      </c>
      <c r="T8" s="74" t="s">
        <v>366</v>
      </c>
      <c r="U8" s="65" t="s">
        <v>367</v>
      </c>
    </row>
    <row r="9" spans="1:21" ht="14.25" thickBot="1" x14ac:dyDescent="0.2">
      <c r="B9" s="140" t="s">
        <v>414</v>
      </c>
      <c r="C9" s="141">
        <f>IF(B9="","",VLOOKUP(B9,M5:P108,2,FALSE))</f>
        <v>1958</v>
      </c>
      <c r="D9" s="141">
        <f ca="1">IF(B9="","",VLOOKUP(B9,M5:P108,3,FALSE))</f>
        <v>63</v>
      </c>
      <c r="E9" s="141" t="str">
        <f>IF(B9="","",VLOOKUP(B9,M5:P108,4,FALSE))</f>
        <v>戌</v>
      </c>
      <c r="H9" s="65">
        <v>1920</v>
      </c>
      <c r="I9" s="74" t="s">
        <v>368</v>
      </c>
      <c r="J9" s="65">
        <f t="shared" ca="1" si="0"/>
        <v>101</v>
      </c>
      <c r="K9" s="74" t="s">
        <v>369</v>
      </c>
      <c r="L9" s="65"/>
      <c r="M9" s="74" t="s">
        <v>368</v>
      </c>
      <c r="N9" s="65">
        <v>1920</v>
      </c>
      <c r="O9" s="65">
        <f t="shared" ca="1" si="1"/>
        <v>101</v>
      </c>
      <c r="P9" s="74" t="s">
        <v>369</v>
      </c>
      <c r="Q9" s="65"/>
      <c r="R9" s="65">
        <f t="shared" ca="1" si="2"/>
        <v>101</v>
      </c>
      <c r="S9" s="65">
        <v>1920</v>
      </c>
      <c r="T9" s="74" t="s">
        <v>368</v>
      </c>
      <c r="U9" s="65" t="s">
        <v>369</v>
      </c>
    </row>
    <row r="10" spans="1:21" x14ac:dyDescent="0.15">
      <c r="H10" s="65">
        <v>1921</v>
      </c>
      <c r="I10" s="74" t="s">
        <v>370</v>
      </c>
      <c r="J10" s="65">
        <f t="shared" ca="1" si="0"/>
        <v>100</v>
      </c>
      <c r="K10" s="74" t="s">
        <v>371</v>
      </c>
      <c r="L10" s="65"/>
      <c r="M10" s="74" t="s">
        <v>370</v>
      </c>
      <c r="N10" s="65">
        <v>1921</v>
      </c>
      <c r="O10" s="65">
        <f t="shared" ca="1" si="1"/>
        <v>100</v>
      </c>
      <c r="P10" s="74" t="s">
        <v>371</v>
      </c>
      <c r="Q10" s="65"/>
      <c r="R10" s="65">
        <f t="shared" ca="1" si="2"/>
        <v>100</v>
      </c>
      <c r="S10" s="65">
        <v>1921</v>
      </c>
      <c r="T10" s="74" t="s">
        <v>370</v>
      </c>
      <c r="U10" s="65" t="s">
        <v>371</v>
      </c>
    </row>
    <row r="11" spans="1:21" x14ac:dyDescent="0.15">
      <c r="H11" s="65">
        <v>1922</v>
      </c>
      <c r="I11" s="74" t="s">
        <v>372</v>
      </c>
      <c r="J11" s="65">
        <f t="shared" ca="1" si="0"/>
        <v>99</v>
      </c>
      <c r="K11" s="74" t="s">
        <v>373</v>
      </c>
      <c r="L11" s="65"/>
      <c r="M11" s="74" t="s">
        <v>372</v>
      </c>
      <c r="N11" s="65">
        <v>1922</v>
      </c>
      <c r="O11" s="65">
        <f t="shared" ca="1" si="1"/>
        <v>99</v>
      </c>
      <c r="P11" s="74" t="s">
        <v>373</v>
      </c>
      <c r="Q11" s="65"/>
      <c r="R11" s="65">
        <f t="shared" ca="1" si="2"/>
        <v>99</v>
      </c>
      <c r="S11" s="65">
        <v>1922</v>
      </c>
      <c r="T11" s="74" t="s">
        <v>372</v>
      </c>
      <c r="U11" s="65" t="s">
        <v>373</v>
      </c>
    </row>
    <row r="12" spans="1:21" ht="14.25" thickBot="1" x14ac:dyDescent="0.2">
      <c r="B12" s="13" t="s">
        <v>478</v>
      </c>
      <c r="C12" s="13" t="s">
        <v>483</v>
      </c>
      <c r="D12" s="13" t="s">
        <v>479</v>
      </c>
      <c r="E12" s="13" t="s">
        <v>481</v>
      </c>
      <c r="H12" s="65">
        <v>1923</v>
      </c>
      <c r="I12" s="74" t="s">
        <v>374</v>
      </c>
      <c r="J12" s="65">
        <f t="shared" ca="1" si="0"/>
        <v>98</v>
      </c>
      <c r="K12" s="74" t="s">
        <v>375</v>
      </c>
      <c r="L12" s="65"/>
      <c r="M12" s="74" t="s">
        <v>374</v>
      </c>
      <c r="N12" s="65">
        <v>1923</v>
      </c>
      <c r="O12" s="65">
        <f t="shared" ca="1" si="1"/>
        <v>98</v>
      </c>
      <c r="P12" s="74" t="s">
        <v>375</v>
      </c>
      <c r="Q12" s="65"/>
      <c r="R12" s="65">
        <f t="shared" ca="1" si="2"/>
        <v>98</v>
      </c>
      <c r="S12" s="65">
        <v>1923</v>
      </c>
      <c r="T12" s="74" t="s">
        <v>374</v>
      </c>
      <c r="U12" s="65" t="s">
        <v>375</v>
      </c>
    </row>
    <row r="13" spans="1:21" ht="14.25" thickBot="1" x14ac:dyDescent="0.2">
      <c r="B13" s="140">
        <v>32</v>
      </c>
      <c r="C13" s="141">
        <f ca="1">IF(B13="","",VLOOKUP(B13,R5:U108,2,FALSE))</f>
        <v>1989</v>
      </c>
      <c r="D13" s="141" t="str">
        <f ca="1">IF(B13="","",VLOOKUP(B13,R5:U108,3,FALSE))</f>
        <v>平成 1</v>
      </c>
      <c r="E13" s="141" t="str">
        <f ca="1">IF(B13="","",VLOOKUP(B13,R5:U108,4,FALSE))</f>
        <v>巳</v>
      </c>
      <c r="H13" s="65">
        <v>1924</v>
      </c>
      <c r="I13" s="74" t="s">
        <v>376</v>
      </c>
      <c r="J13" s="65">
        <f t="shared" ca="1" si="0"/>
        <v>97</v>
      </c>
      <c r="K13" s="74" t="s">
        <v>377</v>
      </c>
      <c r="L13" s="65"/>
      <c r="M13" s="74" t="s">
        <v>376</v>
      </c>
      <c r="N13" s="65">
        <v>1924</v>
      </c>
      <c r="O13" s="65">
        <f t="shared" ca="1" si="1"/>
        <v>97</v>
      </c>
      <c r="P13" s="74" t="s">
        <v>377</v>
      </c>
      <c r="Q13" s="65"/>
      <c r="R13" s="65">
        <f t="shared" ca="1" si="2"/>
        <v>97</v>
      </c>
      <c r="S13" s="65">
        <v>1924</v>
      </c>
      <c r="T13" s="74" t="s">
        <v>376</v>
      </c>
      <c r="U13" s="65" t="s">
        <v>377</v>
      </c>
    </row>
    <row r="14" spans="1:21" x14ac:dyDescent="0.15">
      <c r="H14" s="65">
        <v>1925</v>
      </c>
      <c r="I14" s="74" t="s">
        <v>378</v>
      </c>
      <c r="J14" s="65">
        <f t="shared" ca="1" si="0"/>
        <v>96</v>
      </c>
      <c r="K14" s="74" t="s">
        <v>379</v>
      </c>
      <c r="L14" s="65"/>
      <c r="M14" s="74" t="s">
        <v>378</v>
      </c>
      <c r="N14" s="65">
        <v>1925</v>
      </c>
      <c r="O14" s="65">
        <f t="shared" ca="1" si="1"/>
        <v>96</v>
      </c>
      <c r="P14" s="74" t="s">
        <v>379</v>
      </c>
      <c r="Q14" s="65"/>
      <c r="R14" s="65">
        <f t="shared" ca="1" si="2"/>
        <v>96</v>
      </c>
      <c r="S14" s="65">
        <v>1925</v>
      </c>
      <c r="T14" s="74" t="s">
        <v>378</v>
      </c>
      <c r="U14" s="65" t="s">
        <v>379</v>
      </c>
    </row>
    <row r="15" spans="1:21" x14ac:dyDescent="0.15">
      <c r="H15" s="65">
        <v>1926</v>
      </c>
      <c r="I15" s="74" t="s">
        <v>380</v>
      </c>
      <c r="J15" s="65">
        <f t="shared" ca="1" si="0"/>
        <v>95</v>
      </c>
      <c r="K15" s="74" t="s">
        <v>381</v>
      </c>
      <c r="L15" s="65"/>
      <c r="M15" s="74" t="s">
        <v>380</v>
      </c>
      <c r="N15" s="65">
        <v>1926</v>
      </c>
      <c r="O15" s="65">
        <f t="shared" ca="1" si="1"/>
        <v>95</v>
      </c>
      <c r="P15" s="74" t="s">
        <v>381</v>
      </c>
      <c r="Q15" s="65"/>
      <c r="R15" s="65">
        <f t="shared" ca="1" si="2"/>
        <v>95</v>
      </c>
      <c r="S15" s="65">
        <v>1926</v>
      </c>
      <c r="T15" s="74" t="s">
        <v>380</v>
      </c>
      <c r="U15" s="65" t="s">
        <v>381</v>
      </c>
    </row>
    <row r="16" spans="1:21" x14ac:dyDescent="0.15">
      <c r="A16" s="90"/>
      <c r="H16" s="65">
        <v>1927</v>
      </c>
      <c r="I16" s="74" t="s">
        <v>382</v>
      </c>
      <c r="J16" s="65">
        <f t="shared" ca="1" si="0"/>
        <v>94</v>
      </c>
      <c r="K16" s="74" t="s">
        <v>383</v>
      </c>
      <c r="L16" s="65"/>
      <c r="M16" s="74" t="s">
        <v>382</v>
      </c>
      <c r="N16" s="65">
        <v>1927</v>
      </c>
      <c r="O16" s="65">
        <f t="shared" ca="1" si="1"/>
        <v>94</v>
      </c>
      <c r="P16" s="74" t="s">
        <v>383</v>
      </c>
      <c r="Q16" s="65"/>
      <c r="R16" s="65">
        <f t="shared" ca="1" si="2"/>
        <v>94</v>
      </c>
      <c r="S16" s="65">
        <v>1927</v>
      </c>
      <c r="T16" s="74" t="s">
        <v>382</v>
      </c>
      <c r="U16" s="65" t="s">
        <v>383</v>
      </c>
    </row>
    <row r="17" spans="1:21" x14ac:dyDescent="0.15">
      <c r="A17" s="12"/>
      <c r="H17" s="65">
        <v>1928</v>
      </c>
      <c r="I17" s="74" t="s">
        <v>384</v>
      </c>
      <c r="J17" s="65">
        <f t="shared" ca="1" si="0"/>
        <v>93</v>
      </c>
      <c r="K17" s="74" t="s">
        <v>361</v>
      </c>
      <c r="L17" s="65"/>
      <c r="M17" s="74" t="s">
        <v>384</v>
      </c>
      <c r="N17" s="65">
        <v>1928</v>
      </c>
      <c r="O17" s="65">
        <f t="shared" ca="1" si="1"/>
        <v>93</v>
      </c>
      <c r="P17" s="74" t="s">
        <v>361</v>
      </c>
      <c r="Q17" s="65"/>
      <c r="R17" s="65">
        <f t="shared" ca="1" si="2"/>
        <v>93</v>
      </c>
      <c r="S17" s="65">
        <v>1928</v>
      </c>
      <c r="T17" s="74" t="s">
        <v>384</v>
      </c>
      <c r="U17" s="65" t="s">
        <v>361</v>
      </c>
    </row>
    <row r="18" spans="1:21" x14ac:dyDescent="0.15">
      <c r="A18" s="12"/>
      <c r="H18" s="65">
        <v>1929</v>
      </c>
      <c r="I18" s="74" t="s">
        <v>385</v>
      </c>
      <c r="J18" s="65">
        <f t="shared" ca="1" si="0"/>
        <v>92</v>
      </c>
      <c r="K18" s="74" t="s">
        <v>363</v>
      </c>
      <c r="L18" s="65"/>
      <c r="M18" s="74" t="s">
        <v>385</v>
      </c>
      <c r="N18" s="65">
        <v>1929</v>
      </c>
      <c r="O18" s="65">
        <f t="shared" ca="1" si="1"/>
        <v>92</v>
      </c>
      <c r="P18" s="74" t="s">
        <v>363</v>
      </c>
      <c r="Q18" s="65"/>
      <c r="R18" s="65">
        <f t="shared" ca="1" si="2"/>
        <v>92</v>
      </c>
      <c r="S18" s="65">
        <v>1929</v>
      </c>
      <c r="T18" s="74" t="s">
        <v>385</v>
      </c>
      <c r="U18" s="65" t="s">
        <v>363</v>
      </c>
    </row>
    <row r="19" spans="1:21" x14ac:dyDescent="0.15">
      <c r="H19" s="65">
        <v>1930</v>
      </c>
      <c r="I19" s="74" t="s">
        <v>386</v>
      </c>
      <c r="J19" s="65">
        <f t="shared" ca="1" si="0"/>
        <v>91</v>
      </c>
      <c r="K19" s="74" t="s">
        <v>365</v>
      </c>
      <c r="L19" s="65"/>
      <c r="M19" s="74" t="s">
        <v>386</v>
      </c>
      <c r="N19" s="65">
        <v>1930</v>
      </c>
      <c r="O19" s="65">
        <f t="shared" ca="1" si="1"/>
        <v>91</v>
      </c>
      <c r="P19" s="74" t="s">
        <v>365</v>
      </c>
      <c r="Q19" s="65"/>
      <c r="R19" s="65">
        <f t="shared" ca="1" si="2"/>
        <v>91</v>
      </c>
      <c r="S19" s="65">
        <v>1930</v>
      </c>
      <c r="T19" s="74" t="s">
        <v>386</v>
      </c>
      <c r="U19" s="65" t="s">
        <v>365</v>
      </c>
    </row>
    <row r="20" spans="1:21" x14ac:dyDescent="0.15">
      <c r="A20" s="12" t="s">
        <v>618</v>
      </c>
      <c r="H20" s="65">
        <v>1931</v>
      </c>
      <c r="I20" s="74" t="s">
        <v>387</v>
      </c>
      <c r="J20" s="65">
        <f t="shared" ca="1" si="0"/>
        <v>90</v>
      </c>
      <c r="K20" s="74" t="s">
        <v>367</v>
      </c>
      <c r="L20" s="65"/>
      <c r="M20" s="74" t="s">
        <v>387</v>
      </c>
      <c r="N20" s="65">
        <v>1931</v>
      </c>
      <c r="O20" s="65">
        <f t="shared" ca="1" si="1"/>
        <v>90</v>
      </c>
      <c r="P20" s="74" t="s">
        <v>367</v>
      </c>
      <c r="Q20" s="65"/>
      <c r="R20" s="65">
        <f t="shared" ca="1" si="2"/>
        <v>90</v>
      </c>
      <c r="S20" s="65">
        <v>1931</v>
      </c>
      <c r="T20" s="74" t="s">
        <v>387</v>
      </c>
      <c r="U20" s="65" t="s">
        <v>367</v>
      </c>
    </row>
    <row r="21" spans="1:21" x14ac:dyDescent="0.15">
      <c r="H21" s="65">
        <v>1932</v>
      </c>
      <c r="I21" s="74" t="s">
        <v>388</v>
      </c>
      <c r="J21" s="65">
        <f t="shared" ca="1" si="0"/>
        <v>89</v>
      </c>
      <c r="K21" s="74" t="s">
        <v>369</v>
      </c>
      <c r="L21" s="65"/>
      <c r="M21" s="74" t="s">
        <v>388</v>
      </c>
      <c r="N21" s="65">
        <v>1932</v>
      </c>
      <c r="O21" s="65">
        <f t="shared" ca="1" si="1"/>
        <v>89</v>
      </c>
      <c r="P21" s="74" t="s">
        <v>369</v>
      </c>
      <c r="Q21" s="65"/>
      <c r="R21" s="65">
        <f t="shared" ca="1" si="2"/>
        <v>89</v>
      </c>
      <c r="S21" s="65">
        <v>1932</v>
      </c>
      <c r="T21" s="74" t="s">
        <v>388</v>
      </c>
      <c r="U21" s="65" t="s">
        <v>369</v>
      </c>
    </row>
    <row r="22" spans="1:21" x14ac:dyDescent="0.15">
      <c r="H22" s="65">
        <v>1933</v>
      </c>
      <c r="I22" s="74" t="s">
        <v>389</v>
      </c>
      <c r="J22" s="65">
        <f t="shared" ca="1" si="0"/>
        <v>88</v>
      </c>
      <c r="K22" s="74" t="s">
        <v>371</v>
      </c>
      <c r="L22" s="65"/>
      <c r="M22" s="74" t="s">
        <v>389</v>
      </c>
      <c r="N22" s="65">
        <v>1933</v>
      </c>
      <c r="O22" s="65">
        <f t="shared" ca="1" si="1"/>
        <v>88</v>
      </c>
      <c r="P22" s="74" t="s">
        <v>371</v>
      </c>
      <c r="Q22" s="65"/>
      <c r="R22" s="65">
        <f t="shared" ca="1" si="2"/>
        <v>88</v>
      </c>
      <c r="S22" s="65">
        <v>1933</v>
      </c>
      <c r="T22" s="74" t="s">
        <v>389</v>
      </c>
      <c r="U22" s="65" t="s">
        <v>371</v>
      </c>
    </row>
    <row r="23" spans="1:21" x14ac:dyDescent="0.15">
      <c r="H23" s="65">
        <v>1934</v>
      </c>
      <c r="I23" s="74" t="s">
        <v>390</v>
      </c>
      <c r="J23" s="65">
        <f t="shared" ca="1" si="0"/>
        <v>87</v>
      </c>
      <c r="K23" s="74" t="s">
        <v>373</v>
      </c>
      <c r="L23" s="65"/>
      <c r="M23" s="74" t="s">
        <v>390</v>
      </c>
      <c r="N23" s="65">
        <v>1934</v>
      </c>
      <c r="O23" s="65">
        <f t="shared" ca="1" si="1"/>
        <v>87</v>
      </c>
      <c r="P23" s="74" t="s">
        <v>373</v>
      </c>
      <c r="Q23" s="65"/>
      <c r="R23" s="65">
        <f t="shared" ca="1" si="2"/>
        <v>87</v>
      </c>
      <c r="S23" s="65">
        <v>1934</v>
      </c>
      <c r="T23" s="74" t="s">
        <v>390</v>
      </c>
      <c r="U23" s="65" t="s">
        <v>373</v>
      </c>
    </row>
    <row r="24" spans="1:21" x14ac:dyDescent="0.15">
      <c r="H24" s="65">
        <v>1935</v>
      </c>
      <c r="I24" s="74" t="s">
        <v>391</v>
      </c>
      <c r="J24" s="65">
        <f t="shared" ca="1" si="0"/>
        <v>86</v>
      </c>
      <c r="K24" s="74" t="s">
        <v>375</v>
      </c>
      <c r="L24" s="65"/>
      <c r="M24" s="74" t="s">
        <v>391</v>
      </c>
      <c r="N24" s="65">
        <v>1935</v>
      </c>
      <c r="O24" s="65">
        <f t="shared" ca="1" si="1"/>
        <v>86</v>
      </c>
      <c r="P24" s="74" t="s">
        <v>375</v>
      </c>
      <c r="Q24" s="65"/>
      <c r="R24" s="65">
        <f t="shared" ca="1" si="2"/>
        <v>86</v>
      </c>
      <c r="S24" s="65">
        <v>1935</v>
      </c>
      <c r="T24" s="74" t="s">
        <v>391</v>
      </c>
      <c r="U24" s="65" t="s">
        <v>375</v>
      </c>
    </row>
    <row r="25" spans="1:21" x14ac:dyDescent="0.15">
      <c r="H25" s="65">
        <v>1936</v>
      </c>
      <c r="I25" s="74" t="s">
        <v>392</v>
      </c>
      <c r="J25" s="65">
        <f t="shared" ca="1" si="0"/>
        <v>85</v>
      </c>
      <c r="K25" s="74" t="s">
        <v>377</v>
      </c>
      <c r="L25" s="65"/>
      <c r="M25" s="74" t="s">
        <v>392</v>
      </c>
      <c r="N25" s="65">
        <v>1936</v>
      </c>
      <c r="O25" s="65">
        <f t="shared" ca="1" si="1"/>
        <v>85</v>
      </c>
      <c r="P25" s="74" t="s">
        <v>377</v>
      </c>
      <c r="Q25" s="65"/>
      <c r="R25" s="65">
        <f t="shared" ca="1" si="2"/>
        <v>85</v>
      </c>
      <c r="S25" s="65">
        <v>1936</v>
      </c>
      <c r="T25" s="74" t="s">
        <v>392</v>
      </c>
      <c r="U25" s="65" t="s">
        <v>377</v>
      </c>
    </row>
    <row r="26" spans="1:21" x14ac:dyDescent="0.15">
      <c r="H26" s="65">
        <v>1937</v>
      </c>
      <c r="I26" s="74" t="s">
        <v>393</v>
      </c>
      <c r="J26" s="65">
        <f t="shared" ca="1" si="0"/>
        <v>84</v>
      </c>
      <c r="K26" s="74" t="s">
        <v>379</v>
      </c>
      <c r="L26" s="65"/>
      <c r="M26" s="74" t="s">
        <v>393</v>
      </c>
      <c r="N26" s="65">
        <v>1937</v>
      </c>
      <c r="O26" s="65">
        <f t="shared" ca="1" si="1"/>
        <v>84</v>
      </c>
      <c r="P26" s="74" t="s">
        <v>379</v>
      </c>
      <c r="Q26" s="65"/>
      <c r="R26" s="65">
        <f t="shared" ca="1" si="2"/>
        <v>84</v>
      </c>
      <c r="S26" s="65">
        <v>1937</v>
      </c>
      <c r="T26" s="74" t="s">
        <v>393</v>
      </c>
      <c r="U26" s="65" t="s">
        <v>379</v>
      </c>
    </row>
    <row r="27" spans="1:21" x14ac:dyDescent="0.15">
      <c r="H27" s="65">
        <v>1938</v>
      </c>
      <c r="I27" s="74" t="s">
        <v>394</v>
      </c>
      <c r="J27" s="65">
        <f t="shared" ca="1" si="0"/>
        <v>83</v>
      </c>
      <c r="K27" s="74" t="s">
        <v>381</v>
      </c>
      <c r="L27" s="65"/>
      <c r="M27" s="74" t="s">
        <v>394</v>
      </c>
      <c r="N27" s="65">
        <v>1938</v>
      </c>
      <c r="O27" s="65">
        <f t="shared" ca="1" si="1"/>
        <v>83</v>
      </c>
      <c r="P27" s="74" t="s">
        <v>381</v>
      </c>
      <c r="Q27" s="65"/>
      <c r="R27" s="65">
        <f t="shared" ca="1" si="2"/>
        <v>83</v>
      </c>
      <c r="S27" s="65">
        <v>1938</v>
      </c>
      <c r="T27" s="74" t="s">
        <v>394</v>
      </c>
      <c r="U27" s="65" t="s">
        <v>381</v>
      </c>
    </row>
    <row r="28" spans="1:21" x14ac:dyDescent="0.15">
      <c r="H28" s="65">
        <v>1939</v>
      </c>
      <c r="I28" s="74" t="s">
        <v>395</v>
      </c>
      <c r="J28" s="65">
        <f t="shared" ca="1" si="0"/>
        <v>82</v>
      </c>
      <c r="K28" s="74" t="s">
        <v>383</v>
      </c>
      <c r="L28" s="65"/>
      <c r="M28" s="74" t="s">
        <v>395</v>
      </c>
      <c r="N28" s="65">
        <v>1939</v>
      </c>
      <c r="O28" s="65">
        <f t="shared" ca="1" si="1"/>
        <v>82</v>
      </c>
      <c r="P28" s="74" t="s">
        <v>383</v>
      </c>
      <c r="Q28" s="65"/>
      <c r="R28" s="65">
        <f t="shared" ca="1" si="2"/>
        <v>82</v>
      </c>
      <c r="S28" s="65">
        <v>1939</v>
      </c>
      <c r="T28" s="74" t="s">
        <v>395</v>
      </c>
      <c r="U28" s="65" t="s">
        <v>383</v>
      </c>
    </row>
    <row r="29" spans="1:21" x14ac:dyDescent="0.15">
      <c r="H29" s="65">
        <v>1940</v>
      </c>
      <c r="I29" s="74" t="s">
        <v>396</v>
      </c>
      <c r="J29" s="65">
        <f t="shared" ca="1" si="0"/>
        <v>81</v>
      </c>
      <c r="K29" s="74" t="s">
        <v>361</v>
      </c>
      <c r="L29" s="65"/>
      <c r="M29" s="74" t="s">
        <v>396</v>
      </c>
      <c r="N29" s="65">
        <v>1940</v>
      </c>
      <c r="O29" s="65">
        <f t="shared" ca="1" si="1"/>
        <v>81</v>
      </c>
      <c r="P29" s="74" t="s">
        <v>361</v>
      </c>
      <c r="Q29" s="65"/>
      <c r="R29" s="65">
        <f t="shared" ca="1" si="2"/>
        <v>81</v>
      </c>
      <c r="S29" s="65">
        <v>1940</v>
      </c>
      <c r="T29" s="74" t="s">
        <v>396</v>
      </c>
      <c r="U29" s="65" t="s">
        <v>361</v>
      </c>
    </row>
    <row r="30" spans="1:21" x14ac:dyDescent="0.15">
      <c r="H30" s="65">
        <v>1941</v>
      </c>
      <c r="I30" s="74" t="s">
        <v>397</v>
      </c>
      <c r="J30" s="65">
        <f t="shared" ca="1" si="0"/>
        <v>80</v>
      </c>
      <c r="K30" s="74" t="s">
        <v>363</v>
      </c>
      <c r="L30" s="65"/>
      <c r="M30" s="74" t="s">
        <v>397</v>
      </c>
      <c r="N30" s="65">
        <v>1941</v>
      </c>
      <c r="O30" s="65">
        <f t="shared" ca="1" si="1"/>
        <v>80</v>
      </c>
      <c r="P30" s="74" t="s">
        <v>363</v>
      </c>
      <c r="Q30" s="65"/>
      <c r="R30" s="65">
        <f t="shared" ca="1" si="2"/>
        <v>80</v>
      </c>
      <c r="S30" s="65">
        <v>1941</v>
      </c>
      <c r="T30" s="74" t="s">
        <v>397</v>
      </c>
      <c r="U30" s="65" t="s">
        <v>363</v>
      </c>
    </row>
    <row r="31" spans="1:21" x14ac:dyDescent="0.15">
      <c r="H31" s="65">
        <v>1942</v>
      </c>
      <c r="I31" s="74" t="s">
        <v>398</v>
      </c>
      <c r="J31" s="65">
        <f t="shared" ca="1" si="0"/>
        <v>79</v>
      </c>
      <c r="K31" s="74" t="s">
        <v>365</v>
      </c>
      <c r="L31" s="65"/>
      <c r="M31" s="74" t="s">
        <v>398</v>
      </c>
      <c r="N31" s="65">
        <v>1942</v>
      </c>
      <c r="O31" s="65">
        <f t="shared" ca="1" si="1"/>
        <v>79</v>
      </c>
      <c r="P31" s="74" t="s">
        <v>365</v>
      </c>
      <c r="Q31" s="65"/>
      <c r="R31" s="65">
        <f t="shared" ca="1" si="2"/>
        <v>79</v>
      </c>
      <c r="S31" s="65">
        <v>1942</v>
      </c>
      <c r="T31" s="74" t="s">
        <v>398</v>
      </c>
      <c r="U31" s="65" t="s">
        <v>365</v>
      </c>
    </row>
    <row r="32" spans="1:21" x14ac:dyDescent="0.15">
      <c r="H32" s="65">
        <v>1943</v>
      </c>
      <c r="I32" s="74" t="s">
        <v>399</v>
      </c>
      <c r="J32" s="65">
        <f t="shared" ca="1" si="0"/>
        <v>78</v>
      </c>
      <c r="K32" s="74" t="s">
        <v>367</v>
      </c>
      <c r="L32" s="65"/>
      <c r="M32" s="74" t="s">
        <v>399</v>
      </c>
      <c r="N32" s="65">
        <v>1943</v>
      </c>
      <c r="O32" s="65">
        <f t="shared" ca="1" si="1"/>
        <v>78</v>
      </c>
      <c r="P32" s="74" t="s">
        <v>367</v>
      </c>
      <c r="Q32" s="65"/>
      <c r="R32" s="65">
        <f t="shared" ca="1" si="2"/>
        <v>78</v>
      </c>
      <c r="S32" s="65">
        <v>1943</v>
      </c>
      <c r="T32" s="74" t="s">
        <v>399</v>
      </c>
      <c r="U32" s="65" t="s">
        <v>367</v>
      </c>
    </row>
    <row r="33" spans="8:21" x14ac:dyDescent="0.15">
      <c r="H33" s="65">
        <v>1944</v>
      </c>
      <c r="I33" s="74" t="s">
        <v>400</v>
      </c>
      <c r="J33" s="65">
        <f t="shared" ca="1" si="0"/>
        <v>77</v>
      </c>
      <c r="K33" s="74" t="s">
        <v>369</v>
      </c>
      <c r="L33" s="65"/>
      <c r="M33" s="74" t="s">
        <v>400</v>
      </c>
      <c r="N33" s="65">
        <v>1944</v>
      </c>
      <c r="O33" s="65">
        <f t="shared" ca="1" si="1"/>
        <v>77</v>
      </c>
      <c r="P33" s="74" t="s">
        <v>369</v>
      </c>
      <c r="Q33" s="65"/>
      <c r="R33" s="65">
        <f t="shared" ca="1" si="2"/>
        <v>77</v>
      </c>
      <c r="S33" s="65">
        <v>1944</v>
      </c>
      <c r="T33" s="74" t="s">
        <v>400</v>
      </c>
      <c r="U33" s="65" t="s">
        <v>369</v>
      </c>
    </row>
    <row r="34" spans="8:21" x14ac:dyDescent="0.15">
      <c r="H34" s="65">
        <v>1945</v>
      </c>
      <c r="I34" s="74" t="s">
        <v>401</v>
      </c>
      <c r="J34" s="65">
        <f t="shared" ca="1" si="0"/>
        <v>76</v>
      </c>
      <c r="K34" s="74" t="s">
        <v>371</v>
      </c>
      <c r="L34" s="65"/>
      <c r="M34" s="74" t="s">
        <v>401</v>
      </c>
      <c r="N34" s="65">
        <v>1945</v>
      </c>
      <c r="O34" s="65">
        <f t="shared" ca="1" si="1"/>
        <v>76</v>
      </c>
      <c r="P34" s="74" t="s">
        <v>371</v>
      </c>
      <c r="Q34" s="65"/>
      <c r="R34" s="65">
        <f t="shared" ca="1" si="2"/>
        <v>76</v>
      </c>
      <c r="S34" s="65">
        <v>1945</v>
      </c>
      <c r="T34" s="74" t="s">
        <v>401</v>
      </c>
      <c r="U34" s="65" t="s">
        <v>371</v>
      </c>
    </row>
    <row r="35" spans="8:21" x14ac:dyDescent="0.15">
      <c r="H35" s="65">
        <v>1946</v>
      </c>
      <c r="I35" s="74" t="s">
        <v>402</v>
      </c>
      <c r="J35" s="65">
        <f t="shared" ca="1" si="0"/>
        <v>75</v>
      </c>
      <c r="K35" s="74" t="s">
        <v>373</v>
      </c>
      <c r="L35" s="65"/>
      <c r="M35" s="74" t="s">
        <v>402</v>
      </c>
      <c r="N35" s="65">
        <v>1946</v>
      </c>
      <c r="O35" s="65">
        <f t="shared" ca="1" si="1"/>
        <v>75</v>
      </c>
      <c r="P35" s="74" t="s">
        <v>373</v>
      </c>
      <c r="Q35" s="65"/>
      <c r="R35" s="65">
        <f t="shared" ca="1" si="2"/>
        <v>75</v>
      </c>
      <c r="S35" s="65">
        <v>1946</v>
      </c>
      <c r="T35" s="74" t="s">
        <v>402</v>
      </c>
      <c r="U35" s="65" t="s">
        <v>373</v>
      </c>
    </row>
    <row r="36" spans="8:21" x14ac:dyDescent="0.15">
      <c r="H36" s="65">
        <v>1947</v>
      </c>
      <c r="I36" s="74" t="s">
        <v>403</v>
      </c>
      <c r="J36" s="65">
        <f t="shared" ca="1" si="0"/>
        <v>74</v>
      </c>
      <c r="K36" s="74" t="s">
        <v>375</v>
      </c>
      <c r="L36" s="65"/>
      <c r="M36" s="74" t="s">
        <v>403</v>
      </c>
      <c r="N36" s="65">
        <v>1947</v>
      </c>
      <c r="O36" s="65">
        <f t="shared" ca="1" si="1"/>
        <v>74</v>
      </c>
      <c r="P36" s="74" t="s">
        <v>375</v>
      </c>
      <c r="Q36" s="65"/>
      <c r="R36" s="65">
        <f t="shared" ca="1" si="2"/>
        <v>74</v>
      </c>
      <c r="S36" s="65">
        <v>1947</v>
      </c>
      <c r="T36" s="74" t="s">
        <v>403</v>
      </c>
      <c r="U36" s="65" t="s">
        <v>375</v>
      </c>
    </row>
    <row r="37" spans="8:21" x14ac:dyDescent="0.15">
      <c r="H37" s="65">
        <v>1948</v>
      </c>
      <c r="I37" s="74" t="s">
        <v>404</v>
      </c>
      <c r="J37" s="65">
        <f t="shared" ca="1" si="0"/>
        <v>73</v>
      </c>
      <c r="K37" s="74" t="s">
        <v>377</v>
      </c>
      <c r="L37" s="65"/>
      <c r="M37" s="74" t="s">
        <v>404</v>
      </c>
      <c r="N37" s="65">
        <v>1948</v>
      </c>
      <c r="O37" s="65">
        <f t="shared" ca="1" si="1"/>
        <v>73</v>
      </c>
      <c r="P37" s="74" t="s">
        <v>377</v>
      </c>
      <c r="Q37" s="65"/>
      <c r="R37" s="65">
        <f t="shared" ca="1" si="2"/>
        <v>73</v>
      </c>
      <c r="S37" s="65">
        <v>1948</v>
      </c>
      <c r="T37" s="74" t="s">
        <v>404</v>
      </c>
      <c r="U37" s="65" t="s">
        <v>377</v>
      </c>
    </row>
    <row r="38" spans="8:21" x14ac:dyDescent="0.15">
      <c r="H38" s="65">
        <v>1949</v>
      </c>
      <c r="I38" s="74" t="s">
        <v>405</v>
      </c>
      <c r="J38" s="65">
        <f t="shared" ref="J38:J69" ca="1" si="3">J37-1</f>
        <v>72</v>
      </c>
      <c r="K38" s="74" t="s">
        <v>379</v>
      </c>
      <c r="L38" s="65"/>
      <c r="M38" s="74" t="s">
        <v>405</v>
      </c>
      <c r="N38" s="65">
        <v>1949</v>
      </c>
      <c r="O38" s="65">
        <f t="shared" ca="1" si="1"/>
        <v>72</v>
      </c>
      <c r="P38" s="74" t="s">
        <v>379</v>
      </c>
      <c r="Q38" s="65"/>
      <c r="R38" s="65">
        <f t="shared" ca="1" si="2"/>
        <v>72</v>
      </c>
      <c r="S38" s="65">
        <v>1949</v>
      </c>
      <c r="T38" s="74" t="s">
        <v>405</v>
      </c>
      <c r="U38" s="65" t="s">
        <v>379</v>
      </c>
    </row>
    <row r="39" spans="8:21" x14ac:dyDescent="0.15">
      <c r="H39" s="65">
        <v>1950</v>
      </c>
      <c r="I39" s="74" t="s">
        <v>406</v>
      </c>
      <c r="J39" s="65">
        <f t="shared" ca="1" si="3"/>
        <v>71</v>
      </c>
      <c r="K39" s="74" t="s">
        <v>381</v>
      </c>
      <c r="L39" s="65"/>
      <c r="M39" s="74" t="s">
        <v>406</v>
      </c>
      <c r="N39" s="65">
        <v>1950</v>
      </c>
      <c r="O39" s="65">
        <f t="shared" ca="1" si="1"/>
        <v>71</v>
      </c>
      <c r="P39" s="74" t="s">
        <v>381</v>
      </c>
      <c r="Q39" s="65"/>
      <c r="R39" s="65">
        <f t="shared" ca="1" si="2"/>
        <v>71</v>
      </c>
      <c r="S39" s="65">
        <v>1950</v>
      </c>
      <c r="T39" s="74" t="s">
        <v>406</v>
      </c>
      <c r="U39" s="65" t="s">
        <v>381</v>
      </c>
    </row>
    <row r="40" spans="8:21" x14ac:dyDescent="0.15">
      <c r="H40" s="65">
        <v>1951</v>
      </c>
      <c r="I40" s="74" t="s">
        <v>407</v>
      </c>
      <c r="J40" s="65">
        <f t="shared" ca="1" si="3"/>
        <v>70</v>
      </c>
      <c r="K40" s="74" t="s">
        <v>383</v>
      </c>
      <c r="L40" s="65"/>
      <c r="M40" s="74" t="s">
        <v>407</v>
      </c>
      <c r="N40" s="65">
        <v>1951</v>
      </c>
      <c r="O40" s="65">
        <f t="shared" ca="1" si="1"/>
        <v>70</v>
      </c>
      <c r="P40" s="74" t="s">
        <v>383</v>
      </c>
      <c r="Q40" s="65"/>
      <c r="R40" s="65">
        <f t="shared" ca="1" si="2"/>
        <v>70</v>
      </c>
      <c r="S40" s="65">
        <v>1951</v>
      </c>
      <c r="T40" s="74" t="s">
        <v>407</v>
      </c>
      <c r="U40" s="65" t="s">
        <v>383</v>
      </c>
    </row>
    <row r="41" spans="8:21" x14ac:dyDescent="0.15">
      <c r="H41" s="65">
        <v>1952</v>
      </c>
      <c r="I41" s="74" t="s">
        <v>408</v>
      </c>
      <c r="J41" s="65">
        <f t="shared" ca="1" si="3"/>
        <v>69</v>
      </c>
      <c r="K41" s="74" t="s">
        <v>361</v>
      </c>
      <c r="L41" s="65"/>
      <c r="M41" s="74" t="s">
        <v>408</v>
      </c>
      <c r="N41" s="65">
        <v>1952</v>
      </c>
      <c r="O41" s="65">
        <f t="shared" ca="1" si="1"/>
        <v>69</v>
      </c>
      <c r="P41" s="74" t="s">
        <v>361</v>
      </c>
      <c r="Q41" s="65"/>
      <c r="R41" s="65">
        <f t="shared" ca="1" si="2"/>
        <v>69</v>
      </c>
      <c r="S41" s="65">
        <v>1952</v>
      </c>
      <c r="T41" s="74" t="s">
        <v>408</v>
      </c>
      <c r="U41" s="65" t="s">
        <v>361</v>
      </c>
    </row>
    <row r="42" spans="8:21" x14ac:dyDescent="0.15">
      <c r="H42" s="65">
        <v>1953</v>
      </c>
      <c r="I42" s="74" t="s">
        <v>409</v>
      </c>
      <c r="J42" s="65">
        <f t="shared" ca="1" si="3"/>
        <v>68</v>
      </c>
      <c r="K42" s="74" t="s">
        <v>363</v>
      </c>
      <c r="L42" s="65"/>
      <c r="M42" s="74" t="s">
        <v>409</v>
      </c>
      <c r="N42" s="65">
        <v>1953</v>
      </c>
      <c r="O42" s="65">
        <f t="shared" ca="1" si="1"/>
        <v>68</v>
      </c>
      <c r="P42" s="74" t="s">
        <v>363</v>
      </c>
      <c r="Q42" s="65"/>
      <c r="R42" s="65">
        <f t="shared" ca="1" si="2"/>
        <v>68</v>
      </c>
      <c r="S42" s="65">
        <v>1953</v>
      </c>
      <c r="T42" s="74" t="s">
        <v>409</v>
      </c>
      <c r="U42" s="65" t="s">
        <v>363</v>
      </c>
    </row>
    <row r="43" spans="8:21" x14ac:dyDescent="0.15">
      <c r="H43" s="65">
        <v>1954</v>
      </c>
      <c r="I43" s="74" t="s">
        <v>410</v>
      </c>
      <c r="J43" s="65">
        <f t="shared" ca="1" si="3"/>
        <v>67</v>
      </c>
      <c r="K43" s="74" t="s">
        <v>365</v>
      </c>
      <c r="L43" s="65"/>
      <c r="M43" s="74" t="s">
        <v>410</v>
      </c>
      <c r="N43" s="65">
        <v>1954</v>
      </c>
      <c r="O43" s="65">
        <f t="shared" ca="1" si="1"/>
        <v>67</v>
      </c>
      <c r="P43" s="74" t="s">
        <v>365</v>
      </c>
      <c r="Q43" s="65"/>
      <c r="R43" s="65">
        <f t="shared" ca="1" si="2"/>
        <v>67</v>
      </c>
      <c r="S43" s="65">
        <v>1954</v>
      </c>
      <c r="T43" s="74" t="s">
        <v>410</v>
      </c>
      <c r="U43" s="65" t="s">
        <v>365</v>
      </c>
    </row>
    <row r="44" spans="8:21" x14ac:dyDescent="0.15">
      <c r="H44" s="65">
        <v>1955</v>
      </c>
      <c r="I44" s="74" t="s">
        <v>411</v>
      </c>
      <c r="J44" s="65">
        <f t="shared" ca="1" si="3"/>
        <v>66</v>
      </c>
      <c r="K44" s="74" t="s">
        <v>367</v>
      </c>
      <c r="L44" s="65"/>
      <c r="M44" s="74" t="s">
        <v>411</v>
      </c>
      <c r="N44" s="65">
        <v>1955</v>
      </c>
      <c r="O44" s="65">
        <f t="shared" ca="1" si="1"/>
        <v>66</v>
      </c>
      <c r="P44" s="74" t="s">
        <v>367</v>
      </c>
      <c r="Q44" s="65"/>
      <c r="R44" s="65">
        <f t="shared" ca="1" si="2"/>
        <v>66</v>
      </c>
      <c r="S44" s="65">
        <v>1955</v>
      </c>
      <c r="T44" s="74" t="s">
        <v>411</v>
      </c>
      <c r="U44" s="65" t="s">
        <v>367</v>
      </c>
    </row>
    <row r="45" spans="8:21" x14ac:dyDescent="0.15">
      <c r="H45" s="65">
        <v>1956</v>
      </c>
      <c r="I45" s="74" t="s">
        <v>412</v>
      </c>
      <c r="J45" s="65">
        <f t="shared" ca="1" si="3"/>
        <v>65</v>
      </c>
      <c r="K45" s="74" t="s">
        <v>369</v>
      </c>
      <c r="L45" s="65"/>
      <c r="M45" s="74" t="s">
        <v>412</v>
      </c>
      <c r="N45" s="65">
        <v>1956</v>
      </c>
      <c r="O45" s="65">
        <f t="shared" ca="1" si="1"/>
        <v>65</v>
      </c>
      <c r="P45" s="74" t="s">
        <v>369</v>
      </c>
      <c r="Q45" s="65"/>
      <c r="R45" s="65">
        <f t="shared" ca="1" si="2"/>
        <v>65</v>
      </c>
      <c r="S45" s="65">
        <v>1956</v>
      </c>
      <c r="T45" s="74" t="s">
        <v>412</v>
      </c>
      <c r="U45" s="65" t="s">
        <v>369</v>
      </c>
    </row>
    <row r="46" spans="8:21" x14ac:dyDescent="0.15">
      <c r="H46" s="65">
        <v>1957</v>
      </c>
      <c r="I46" s="74" t="s">
        <v>413</v>
      </c>
      <c r="J46" s="65">
        <f t="shared" ca="1" si="3"/>
        <v>64</v>
      </c>
      <c r="K46" s="74" t="s">
        <v>371</v>
      </c>
      <c r="L46" s="65"/>
      <c r="M46" s="74" t="s">
        <v>413</v>
      </c>
      <c r="N46" s="65">
        <v>1957</v>
      </c>
      <c r="O46" s="65">
        <f t="shared" ca="1" si="1"/>
        <v>64</v>
      </c>
      <c r="P46" s="74" t="s">
        <v>371</v>
      </c>
      <c r="Q46" s="65"/>
      <c r="R46" s="65">
        <f t="shared" ca="1" si="2"/>
        <v>64</v>
      </c>
      <c r="S46" s="65">
        <v>1957</v>
      </c>
      <c r="T46" s="74" t="s">
        <v>413</v>
      </c>
      <c r="U46" s="65" t="s">
        <v>371</v>
      </c>
    </row>
    <row r="47" spans="8:21" x14ac:dyDescent="0.15">
      <c r="H47" s="65">
        <v>1958</v>
      </c>
      <c r="I47" s="74" t="s">
        <v>414</v>
      </c>
      <c r="J47" s="65">
        <f t="shared" ca="1" si="3"/>
        <v>63</v>
      </c>
      <c r="K47" s="74" t="s">
        <v>373</v>
      </c>
      <c r="L47" s="65"/>
      <c r="M47" s="74" t="s">
        <v>414</v>
      </c>
      <c r="N47" s="65">
        <v>1958</v>
      </c>
      <c r="O47" s="65">
        <f t="shared" ca="1" si="1"/>
        <v>63</v>
      </c>
      <c r="P47" s="74" t="s">
        <v>373</v>
      </c>
      <c r="Q47" s="65"/>
      <c r="R47" s="65">
        <f t="shared" ca="1" si="2"/>
        <v>63</v>
      </c>
      <c r="S47" s="65">
        <v>1958</v>
      </c>
      <c r="T47" s="74" t="s">
        <v>414</v>
      </c>
      <c r="U47" s="65" t="s">
        <v>373</v>
      </c>
    </row>
    <row r="48" spans="8:21" x14ac:dyDescent="0.15">
      <c r="H48" s="65">
        <v>1959</v>
      </c>
      <c r="I48" s="74" t="s">
        <v>415</v>
      </c>
      <c r="J48" s="65">
        <f t="shared" ca="1" si="3"/>
        <v>62</v>
      </c>
      <c r="K48" s="74" t="s">
        <v>375</v>
      </c>
      <c r="L48" s="65"/>
      <c r="M48" s="74" t="s">
        <v>415</v>
      </c>
      <c r="N48" s="65">
        <v>1959</v>
      </c>
      <c r="O48" s="65">
        <f t="shared" ca="1" si="1"/>
        <v>62</v>
      </c>
      <c r="P48" s="74" t="s">
        <v>375</v>
      </c>
      <c r="Q48" s="65"/>
      <c r="R48" s="65">
        <f t="shared" ca="1" si="2"/>
        <v>62</v>
      </c>
      <c r="S48" s="65">
        <v>1959</v>
      </c>
      <c r="T48" s="74" t="s">
        <v>415</v>
      </c>
      <c r="U48" s="65" t="s">
        <v>375</v>
      </c>
    </row>
    <row r="49" spans="8:21" x14ac:dyDescent="0.15">
      <c r="H49" s="65">
        <v>1960</v>
      </c>
      <c r="I49" s="74" t="s">
        <v>416</v>
      </c>
      <c r="J49" s="65">
        <f t="shared" ca="1" si="3"/>
        <v>61</v>
      </c>
      <c r="K49" s="74" t="s">
        <v>377</v>
      </c>
      <c r="L49" s="65"/>
      <c r="M49" s="74" t="s">
        <v>416</v>
      </c>
      <c r="N49" s="65">
        <v>1960</v>
      </c>
      <c r="O49" s="65">
        <f t="shared" ca="1" si="1"/>
        <v>61</v>
      </c>
      <c r="P49" s="74" t="s">
        <v>377</v>
      </c>
      <c r="Q49" s="65"/>
      <c r="R49" s="65">
        <f t="shared" ca="1" si="2"/>
        <v>61</v>
      </c>
      <c r="S49" s="65">
        <v>1960</v>
      </c>
      <c r="T49" s="74" t="s">
        <v>416</v>
      </c>
      <c r="U49" s="65" t="s">
        <v>377</v>
      </c>
    </row>
    <row r="50" spans="8:21" x14ac:dyDescent="0.15">
      <c r="H50" s="65">
        <v>1961</v>
      </c>
      <c r="I50" s="74" t="s">
        <v>417</v>
      </c>
      <c r="J50" s="65">
        <f t="shared" ca="1" si="3"/>
        <v>60</v>
      </c>
      <c r="K50" s="74" t="s">
        <v>379</v>
      </c>
      <c r="L50" s="65"/>
      <c r="M50" s="74" t="s">
        <v>417</v>
      </c>
      <c r="N50" s="65">
        <v>1961</v>
      </c>
      <c r="O50" s="65">
        <f t="shared" ca="1" si="1"/>
        <v>60</v>
      </c>
      <c r="P50" s="74" t="s">
        <v>379</v>
      </c>
      <c r="Q50" s="65"/>
      <c r="R50" s="65">
        <f t="shared" ca="1" si="2"/>
        <v>60</v>
      </c>
      <c r="S50" s="65">
        <v>1961</v>
      </c>
      <c r="T50" s="74" t="s">
        <v>417</v>
      </c>
      <c r="U50" s="65" t="s">
        <v>379</v>
      </c>
    </row>
    <row r="51" spans="8:21" x14ac:dyDescent="0.15">
      <c r="H51" s="65">
        <v>1962</v>
      </c>
      <c r="I51" s="74" t="s">
        <v>418</v>
      </c>
      <c r="J51" s="65">
        <f t="shared" ca="1" si="3"/>
        <v>59</v>
      </c>
      <c r="K51" s="74" t="s">
        <v>381</v>
      </c>
      <c r="L51" s="65"/>
      <c r="M51" s="74" t="s">
        <v>418</v>
      </c>
      <c r="N51" s="65">
        <v>1962</v>
      </c>
      <c r="O51" s="65">
        <f t="shared" ca="1" si="1"/>
        <v>59</v>
      </c>
      <c r="P51" s="74" t="s">
        <v>381</v>
      </c>
      <c r="Q51" s="65"/>
      <c r="R51" s="65">
        <f t="shared" ca="1" si="2"/>
        <v>59</v>
      </c>
      <c r="S51" s="65">
        <v>1962</v>
      </c>
      <c r="T51" s="74" t="s">
        <v>418</v>
      </c>
      <c r="U51" s="65" t="s">
        <v>381</v>
      </c>
    </row>
    <row r="52" spans="8:21" x14ac:dyDescent="0.15">
      <c r="H52" s="65">
        <v>1963</v>
      </c>
      <c r="I52" s="74" t="s">
        <v>419</v>
      </c>
      <c r="J52" s="65">
        <f t="shared" ca="1" si="3"/>
        <v>58</v>
      </c>
      <c r="K52" s="74" t="s">
        <v>383</v>
      </c>
      <c r="L52" s="65"/>
      <c r="M52" s="74" t="s">
        <v>419</v>
      </c>
      <c r="N52" s="65">
        <v>1963</v>
      </c>
      <c r="O52" s="65">
        <f t="shared" ca="1" si="1"/>
        <v>58</v>
      </c>
      <c r="P52" s="74" t="s">
        <v>383</v>
      </c>
      <c r="Q52" s="65"/>
      <c r="R52" s="65">
        <f t="shared" ca="1" si="2"/>
        <v>58</v>
      </c>
      <c r="S52" s="65">
        <v>1963</v>
      </c>
      <c r="T52" s="74" t="s">
        <v>419</v>
      </c>
      <c r="U52" s="65" t="s">
        <v>383</v>
      </c>
    </row>
    <row r="53" spans="8:21" x14ac:dyDescent="0.15">
      <c r="H53" s="65">
        <v>1964</v>
      </c>
      <c r="I53" s="74" t="s">
        <v>420</v>
      </c>
      <c r="J53" s="65">
        <f t="shared" ca="1" si="3"/>
        <v>57</v>
      </c>
      <c r="K53" s="74" t="s">
        <v>361</v>
      </c>
      <c r="L53" s="65"/>
      <c r="M53" s="74" t="s">
        <v>420</v>
      </c>
      <c r="N53" s="65">
        <v>1964</v>
      </c>
      <c r="O53" s="65">
        <f t="shared" ca="1" si="1"/>
        <v>57</v>
      </c>
      <c r="P53" s="74" t="s">
        <v>361</v>
      </c>
      <c r="Q53" s="65"/>
      <c r="R53" s="65">
        <f t="shared" ca="1" si="2"/>
        <v>57</v>
      </c>
      <c r="S53" s="65">
        <v>1964</v>
      </c>
      <c r="T53" s="74" t="s">
        <v>420</v>
      </c>
      <c r="U53" s="65" t="s">
        <v>361</v>
      </c>
    </row>
    <row r="54" spans="8:21" x14ac:dyDescent="0.15">
      <c r="H54" s="65">
        <v>1965</v>
      </c>
      <c r="I54" s="74" t="s">
        <v>421</v>
      </c>
      <c r="J54" s="65">
        <f t="shared" ca="1" si="3"/>
        <v>56</v>
      </c>
      <c r="K54" s="74" t="s">
        <v>363</v>
      </c>
      <c r="L54" s="65"/>
      <c r="M54" s="74" t="s">
        <v>421</v>
      </c>
      <c r="N54" s="65">
        <v>1965</v>
      </c>
      <c r="O54" s="65">
        <f t="shared" ca="1" si="1"/>
        <v>56</v>
      </c>
      <c r="P54" s="74" t="s">
        <v>363</v>
      </c>
      <c r="Q54" s="65"/>
      <c r="R54" s="65">
        <f t="shared" ca="1" si="2"/>
        <v>56</v>
      </c>
      <c r="S54" s="65">
        <v>1965</v>
      </c>
      <c r="T54" s="74" t="s">
        <v>421</v>
      </c>
      <c r="U54" s="65" t="s">
        <v>363</v>
      </c>
    </row>
    <row r="55" spans="8:21" x14ac:dyDescent="0.15">
      <c r="H55" s="65">
        <v>1966</v>
      </c>
      <c r="I55" s="74" t="s">
        <v>422</v>
      </c>
      <c r="J55" s="65">
        <f t="shared" ca="1" si="3"/>
        <v>55</v>
      </c>
      <c r="K55" s="74" t="s">
        <v>365</v>
      </c>
      <c r="L55" s="65"/>
      <c r="M55" s="74" t="s">
        <v>422</v>
      </c>
      <c r="N55" s="65">
        <v>1966</v>
      </c>
      <c r="O55" s="65">
        <f t="shared" ca="1" si="1"/>
        <v>55</v>
      </c>
      <c r="P55" s="74" t="s">
        <v>365</v>
      </c>
      <c r="Q55" s="65"/>
      <c r="R55" s="65">
        <f t="shared" ca="1" si="2"/>
        <v>55</v>
      </c>
      <c r="S55" s="65">
        <v>1966</v>
      </c>
      <c r="T55" s="74" t="s">
        <v>422</v>
      </c>
      <c r="U55" s="65" t="s">
        <v>365</v>
      </c>
    </row>
    <row r="56" spans="8:21" x14ac:dyDescent="0.15">
      <c r="H56" s="65">
        <v>1967</v>
      </c>
      <c r="I56" s="74" t="s">
        <v>423</v>
      </c>
      <c r="J56" s="65">
        <f t="shared" ca="1" si="3"/>
        <v>54</v>
      </c>
      <c r="K56" s="74" t="s">
        <v>367</v>
      </c>
      <c r="L56" s="65"/>
      <c r="M56" s="74" t="s">
        <v>423</v>
      </c>
      <c r="N56" s="65">
        <v>1967</v>
      </c>
      <c r="O56" s="65">
        <f t="shared" ca="1" si="1"/>
        <v>54</v>
      </c>
      <c r="P56" s="74" t="s">
        <v>367</v>
      </c>
      <c r="Q56" s="65"/>
      <c r="R56" s="65">
        <f t="shared" ca="1" si="2"/>
        <v>54</v>
      </c>
      <c r="S56" s="65">
        <v>1967</v>
      </c>
      <c r="T56" s="74" t="s">
        <v>423</v>
      </c>
      <c r="U56" s="65" t="s">
        <v>367</v>
      </c>
    </row>
    <row r="57" spans="8:21" x14ac:dyDescent="0.15">
      <c r="H57" s="65">
        <v>1968</v>
      </c>
      <c r="I57" s="74" t="s">
        <v>424</v>
      </c>
      <c r="J57" s="65">
        <f t="shared" ca="1" si="3"/>
        <v>53</v>
      </c>
      <c r="K57" s="74" t="s">
        <v>369</v>
      </c>
      <c r="L57" s="65"/>
      <c r="M57" s="74" t="s">
        <v>424</v>
      </c>
      <c r="N57" s="65">
        <v>1968</v>
      </c>
      <c r="O57" s="65">
        <f t="shared" ca="1" si="1"/>
        <v>53</v>
      </c>
      <c r="P57" s="74" t="s">
        <v>369</v>
      </c>
      <c r="Q57" s="65"/>
      <c r="R57" s="65">
        <f t="shared" ca="1" si="2"/>
        <v>53</v>
      </c>
      <c r="S57" s="65">
        <v>1968</v>
      </c>
      <c r="T57" s="74" t="s">
        <v>424</v>
      </c>
      <c r="U57" s="65" t="s">
        <v>369</v>
      </c>
    </row>
    <row r="58" spans="8:21" x14ac:dyDescent="0.15">
      <c r="H58" s="65">
        <v>1969</v>
      </c>
      <c r="I58" s="74" t="s">
        <v>425</v>
      </c>
      <c r="J58" s="65">
        <f t="shared" ca="1" si="3"/>
        <v>52</v>
      </c>
      <c r="K58" s="74" t="s">
        <v>371</v>
      </c>
      <c r="L58" s="65"/>
      <c r="M58" s="74" t="s">
        <v>425</v>
      </c>
      <c r="N58" s="65">
        <v>1969</v>
      </c>
      <c r="O58" s="65">
        <f t="shared" ca="1" si="1"/>
        <v>52</v>
      </c>
      <c r="P58" s="74" t="s">
        <v>371</v>
      </c>
      <c r="Q58" s="65"/>
      <c r="R58" s="65">
        <f t="shared" ca="1" si="2"/>
        <v>52</v>
      </c>
      <c r="S58" s="65">
        <v>1969</v>
      </c>
      <c r="T58" s="74" t="s">
        <v>425</v>
      </c>
      <c r="U58" s="65" t="s">
        <v>371</v>
      </c>
    </row>
    <row r="59" spans="8:21" x14ac:dyDescent="0.15">
      <c r="H59" s="65">
        <v>1970</v>
      </c>
      <c r="I59" s="74" t="s">
        <v>426</v>
      </c>
      <c r="J59" s="65">
        <f t="shared" ca="1" si="3"/>
        <v>51</v>
      </c>
      <c r="K59" s="74" t="s">
        <v>373</v>
      </c>
      <c r="L59" s="65"/>
      <c r="M59" s="74" t="s">
        <v>426</v>
      </c>
      <c r="N59" s="65">
        <v>1970</v>
      </c>
      <c r="O59" s="65">
        <f t="shared" ca="1" si="1"/>
        <v>51</v>
      </c>
      <c r="P59" s="74" t="s">
        <v>373</v>
      </c>
      <c r="Q59" s="65"/>
      <c r="R59" s="65">
        <f t="shared" ca="1" si="2"/>
        <v>51</v>
      </c>
      <c r="S59" s="65">
        <v>1970</v>
      </c>
      <c r="T59" s="74" t="s">
        <v>426</v>
      </c>
      <c r="U59" s="65" t="s">
        <v>373</v>
      </c>
    </row>
    <row r="60" spans="8:21" x14ac:dyDescent="0.15">
      <c r="H60" s="65">
        <v>1971</v>
      </c>
      <c r="I60" s="74" t="s">
        <v>427</v>
      </c>
      <c r="J60" s="65">
        <f t="shared" ca="1" si="3"/>
        <v>50</v>
      </c>
      <c r="K60" s="74" t="s">
        <v>375</v>
      </c>
      <c r="L60" s="65"/>
      <c r="M60" s="74" t="s">
        <v>427</v>
      </c>
      <c r="N60" s="65">
        <v>1971</v>
      </c>
      <c r="O60" s="65">
        <f t="shared" ca="1" si="1"/>
        <v>50</v>
      </c>
      <c r="P60" s="74" t="s">
        <v>375</v>
      </c>
      <c r="Q60" s="65"/>
      <c r="R60" s="65">
        <f t="shared" ca="1" si="2"/>
        <v>50</v>
      </c>
      <c r="S60" s="65">
        <v>1971</v>
      </c>
      <c r="T60" s="74" t="s">
        <v>427</v>
      </c>
      <c r="U60" s="65" t="s">
        <v>375</v>
      </c>
    </row>
    <row r="61" spans="8:21" x14ac:dyDescent="0.15">
      <c r="H61" s="65">
        <v>1972</v>
      </c>
      <c r="I61" s="74" t="s">
        <v>428</v>
      </c>
      <c r="J61" s="65">
        <f t="shared" ca="1" si="3"/>
        <v>49</v>
      </c>
      <c r="K61" s="74" t="s">
        <v>377</v>
      </c>
      <c r="L61" s="65"/>
      <c r="M61" s="74" t="s">
        <v>428</v>
      </c>
      <c r="N61" s="65">
        <v>1972</v>
      </c>
      <c r="O61" s="65">
        <f t="shared" ca="1" si="1"/>
        <v>49</v>
      </c>
      <c r="P61" s="74" t="s">
        <v>377</v>
      </c>
      <c r="Q61" s="65"/>
      <c r="R61" s="65">
        <f t="shared" ca="1" si="2"/>
        <v>49</v>
      </c>
      <c r="S61" s="65">
        <v>1972</v>
      </c>
      <c r="T61" s="74" t="s">
        <v>428</v>
      </c>
      <c r="U61" s="65" t="s">
        <v>377</v>
      </c>
    </row>
    <row r="62" spans="8:21" x14ac:dyDescent="0.15">
      <c r="H62" s="65">
        <v>1973</v>
      </c>
      <c r="I62" s="74" t="s">
        <v>429</v>
      </c>
      <c r="J62" s="65">
        <f t="shared" ca="1" si="3"/>
        <v>48</v>
      </c>
      <c r="K62" s="74" t="s">
        <v>379</v>
      </c>
      <c r="L62" s="65"/>
      <c r="M62" s="74" t="s">
        <v>429</v>
      </c>
      <c r="N62" s="65">
        <v>1973</v>
      </c>
      <c r="O62" s="65">
        <f t="shared" ca="1" si="1"/>
        <v>48</v>
      </c>
      <c r="P62" s="74" t="s">
        <v>379</v>
      </c>
      <c r="Q62" s="65"/>
      <c r="R62" s="65">
        <f t="shared" ca="1" si="2"/>
        <v>48</v>
      </c>
      <c r="S62" s="65">
        <v>1973</v>
      </c>
      <c r="T62" s="74" t="s">
        <v>429</v>
      </c>
      <c r="U62" s="65" t="s">
        <v>379</v>
      </c>
    </row>
    <row r="63" spans="8:21" x14ac:dyDescent="0.15">
      <c r="H63" s="65">
        <v>1974</v>
      </c>
      <c r="I63" s="74" t="s">
        <v>430</v>
      </c>
      <c r="J63" s="65">
        <f t="shared" ca="1" si="3"/>
        <v>47</v>
      </c>
      <c r="K63" s="74" t="s">
        <v>381</v>
      </c>
      <c r="L63" s="65"/>
      <c r="M63" s="74" t="s">
        <v>430</v>
      </c>
      <c r="N63" s="65">
        <v>1974</v>
      </c>
      <c r="O63" s="65">
        <f t="shared" ca="1" si="1"/>
        <v>47</v>
      </c>
      <c r="P63" s="74" t="s">
        <v>381</v>
      </c>
      <c r="Q63" s="65"/>
      <c r="R63" s="65">
        <f t="shared" ca="1" si="2"/>
        <v>47</v>
      </c>
      <c r="S63" s="65">
        <v>1974</v>
      </c>
      <c r="T63" s="74" t="s">
        <v>430</v>
      </c>
      <c r="U63" s="65" t="s">
        <v>381</v>
      </c>
    </row>
    <row r="64" spans="8:21" x14ac:dyDescent="0.15">
      <c r="H64" s="65">
        <v>1975</v>
      </c>
      <c r="I64" s="74" t="s">
        <v>431</v>
      </c>
      <c r="J64" s="65">
        <f t="shared" ca="1" si="3"/>
        <v>46</v>
      </c>
      <c r="K64" s="74" t="s">
        <v>383</v>
      </c>
      <c r="L64" s="65"/>
      <c r="M64" s="74" t="s">
        <v>431</v>
      </c>
      <c r="N64" s="65">
        <v>1975</v>
      </c>
      <c r="O64" s="65">
        <f t="shared" ca="1" si="1"/>
        <v>46</v>
      </c>
      <c r="P64" s="74" t="s">
        <v>383</v>
      </c>
      <c r="Q64" s="65"/>
      <c r="R64" s="65">
        <f t="shared" ca="1" si="2"/>
        <v>46</v>
      </c>
      <c r="S64" s="65">
        <v>1975</v>
      </c>
      <c r="T64" s="74" t="s">
        <v>431</v>
      </c>
      <c r="U64" s="65" t="s">
        <v>383</v>
      </c>
    </row>
    <row r="65" spans="8:21" x14ac:dyDescent="0.15">
      <c r="H65" s="65">
        <v>1976</v>
      </c>
      <c r="I65" s="74" t="s">
        <v>432</v>
      </c>
      <c r="J65" s="65">
        <f t="shared" ca="1" si="3"/>
        <v>45</v>
      </c>
      <c r="K65" s="74" t="s">
        <v>361</v>
      </c>
      <c r="L65" s="65"/>
      <c r="M65" s="74" t="s">
        <v>432</v>
      </c>
      <c r="N65" s="65">
        <v>1976</v>
      </c>
      <c r="O65" s="65">
        <f t="shared" ca="1" si="1"/>
        <v>45</v>
      </c>
      <c r="P65" s="74" t="s">
        <v>361</v>
      </c>
      <c r="Q65" s="65"/>
      <c r="R65" s="65">
        <f t="shared" ca="1" si="2"/>
        <v>45</v>
      </c>
      <c r="S65" s="65">
        <v>1976</v>
      </c>
      <c r="T65" s="74" t="s">
        <v>432</v>
      </c>
      <c r="U65" s="65" t="s">
        <v>361</v>
      </c>
    </row>
    <row r="66" spans="8:21" x14ac:dyDescent="0.15">
      <c r="H66" s="65">
        <v>1977</v>
      </c>
      <c r="I66" s="74" t="s">
        <v>433</v>
      </c>
      <c r="J66" s="65">
        <f t="shared" ca="1" si="3"/>
        <v>44</v>
      </c>
      <c r="K66" s="74" t="s">
        <v>363</v>
      </c>
      <c r="L66" s="65"/>
      <c r="M66" s="74" t="s">
        <v>433</v>
      </c>
      <c r="N66" s="65">
        <v>1977</v>
      </c>
      <c r="O66" s="65">
        <f t="shared" ca="1" si="1"/>
        <v>44</v>
      </c>
      <c r="P66" s="74" t="s">
        <v>363</v>
      </c>
      <c r="Q66" s="65"/>
      <c r="R66" s="65">
        <f t="shared" ca="1" si="2"/>
        <v>44</v>
      </c>
      <c r="S66" s="65">
        <v>1977</v>
      </c>
      <c r="T66" s="74" t="s">
        <v>433</v>
      </c>
      <c r="U66" s="65" t="s">
        <v>363</v>
      </c>
    </row>
    <row r="67" spans="8:21" x14ac:dyDescent="0.15">
      <c r="H67" s="65">
        <v>1978</v>
      </c>
      <c r="I67" s="74" t="s">
        <v>434</v>
      </c>
      <c r="J67" s="65">
        <f t="shared" ca="1" si="3"/>
        <v>43</v>
      </c>
      <c r="K67" s="74" t="s">
        <v>365</v>
      </c>
      <c r="L67" s="65"/>
      <c r="M67" s="74" t="s">
        <v>434</v>
      </c>
      <c r="N67" s="65">
        <v>1978</v>
      </c>
      <c r="O67" s="65">
        <f t="shared" ca="1" si="1"/>
        <v>43</v>
      </c>
      <c r="P67" s="74" t="s">
        <v>365</v>
      </c>
      <c r="Q67" s="65"/>
      <c r="R67" s="65">
        <f t="shared" ca="1" si="2"/>
        <v>43</v>
      </c>
      <c r="S67" s="65">
        <v>1978</v>
      </c>
      <c r="T67" s="74" t="s">
        <v>434</v>
      </c>
      <c r="U67" s="65" t="s">
        <v>365</v>
      </c>
    </row>
    <row r="68" spans="8:21" x14ac:dyDescent="0.15">
      <c r="H68" s="65">
        <v>1979</v>
      </c>
      <c r="I68" s="74" t="s">
        <v>435</v>
      </c>
      <c r="J68" s="65">
        <f t="shared" ca="1" si="3"/>
        <v>42</v>
      </c>
      <c r="K68" s="74" t="s">
        <v>367</v>
      </c>
      <c r="L68" s="65"/>
      <c r="M68" s="74" t="s">
        <v>435</v>
      </c>
      <c r="N68" s="65">
        <v>1979</v>
      </c>
      <c r="O68" s="65">
        <f t="shared" ca="1" si="1"/>
        <v>42</v>
      </c>
      <c r="P68" s="74" t="s">
        <v>367</v>
      </c>
      <c r="Q68" s="65"/>
      <c r="R68" s="65">
        <f t="shared" ca="1" si="2"/>
        <v>42</v>
      </c>
      <c r="S68" s="65">
        <v>1979</v>
      </c>
      <c r="T68" s="74" t="s">
        <v>435</v>
      </c>
      <c r="U68" s="65" t="s">
        <v>367</v>
      </c>
    </row>
    <row r="69" spans="8:21" x14ac:dyDescent="0.15">
      <c r="H69" s="65">
        <v>1980</v>
      </c>
      <c r="I69" s="74" t="s">
        <v>436</v>
      </c>
      <c r="J69" s="65">
        <f t="shared" ca="1" si="3"/>
        <v>41</v>
      </c>
      <c r="K69" s="74" t="s">
        <v>369</v>
      </c>
      <c r="L69" s="65"/>
      <c r="M69" s="74" t="s">
        <v>436</v>
      </c>
      <c r="N69" s="65">
        <v>1980</v>
      </c>
      <c r="O69" s="65">
        <f t="shared" ca="1" si="1"/>
        <v>41</v>
      </c>
      <c r="P69" s="74" t="s">
        <v>369</v>
      </c>
      <c r="Q69" s="65"/>
      <c r="R69" s="65">
        <f t="shared" ca="1" si="2"/>
        <v>41</v>
      </c>
      <c r="S69" s="65">
        <v>1980</v>
      </c>
      <c r="T69" s="74" t="s">
        <v>436</v>
      </c>
      <c r="U69" s="65" t="s">
        <v>369</v>
      </c>
    </row>
    <row r="70" spans="8:21" x14ac:dyDescent="0.15">
      <c r="H70" s="65">
        <v>1981</v>
      </c>
      <c r="I70" s="74" t="s">
        <v>437</v>
      </c>
      <c r="J70" s="65">
        <f t="shared" ref="J70:J101" ca="1" si="4">J69-1</f>
        <v>40</v>
      </c>
      <c r="K70" s="74" t="s">
        <v>371</v>
      </c>
      <c r="L70" s="65"/>
      <c r="M70" s="74" t="s">
        <v>437</v>
      </c>
      <c r="N70" s="65">
        <v>1981</v>
      </c>
      <c r="O70" s="65">
        <f t="shared" ref="O70:O133" ca="1" si="5">O69-1</f>
        <v>40</v>
      </c>
      <c r="P70" s="74" t="s">
        <v>371</v>
      </c>
      <c r="Q70" s="65"/>
      <c r="R70" s="65">
        <f t="shared" ref="R70:R133" ca="1" si="6">R69-1</f>
        <v>40</v>
      </c>
      <c r="S70" s="65">
        <v>1981</v>
      </c>
      <c r="T70" s="74" t="s">
        <v>437</v>
      </c>
      <c r="U70" s="65" t="s">
        <v>371</v>
      </c>
    </row>
    <row r="71" spans="8:21" x14ac:dyDescent="0.15">
      <c r="H71" s="65">
        <v>1982</v>
      </c>
      <c r="I71" s="74" t="s">
        <v>438</v>
      </c>
      <c r="J71" s="65">
        <f t="shared" ca="1" si="4"/>
        <v>39</v>
      </c>
      <c r="K71" s="74" t="s">
        <v>373</v>
      </c>
      <c r="L71" s="65"/>
      <c r="M71" s="74" t="s">
        <v>438</v>
      </c>
      <c r="N71" s="65">
        <v>1982</v>
      </c>
      <c r="O71" s="65">
        <f t="shared" ca="1" si="5"/>
        <v>39</v>
      </c>
      <c r="P71" s="74" t="s">
        <v>373</v>
      </c>
      <c r="Q71" s="65"/>
      <c r="R71" s="65">
        <f t="shared" ca="1" si="6"/>
        <v>39</v>
      </c>
      <c r="S71" s="65">
        <v>1982</v>
      </c>
      <c r="T71" s="74" t="s">
        <v>438</v>
      </c>
      <c r="U71" s="65" t="s">
        <v>373</v>
      </c>
    </row>
    <row r="72" spans="8:21" x14ac:dyDescent="0.15">
      <c r="H72" s="65">
        <v>1983</v>
      </c>
      <c r="I72" s="74" t="s">
        <v>439</v>
      </c>
      <c r="J72" s="65">
        <f t="shared" ca="1" si="4"/>
        <v>38</v>
      </c>
      <c r="K72" s="74" t="s">
        <v>375</v>
      </c>
      <c r="L72" s="65"/>
      <c r="M72" s="74" t="s">
        <v>439</v>
      </c>
      <c r="N72" s="65">
        <v>1983</v>
      </c>
      <c r="O72" s="65">
        <f t="shared" ca="1" si="5"/>
        <v>38</v>
      </c>
      <c r="P72" s="74" t="s">
        <v>375</v>
      </c>
      <c r="Q72" s="65"/>
      <c r="R72" s="65">
        <f t="shared" ca="1" si="6"/>
        <v>38</v>
      </c>
      <c r="S72" s="65">
        <v>1983</v>
      </c>
      <c r="T72" s="74" t="s">
        <v>439</v>
      </c>
      <c r="U72" s="65" t="s">
        <v>375</v>
      </c>
    </row>
    <row r="73" spans="8:21" x14ac:dyDescent="0.15">
      <c r="H73" s="65">
        <v>1984</v>
      </c>
      <c r="I73" s="74" t="s">
        <v>440</v>
      </c>
      <c r="J73" s="65">
        <f t="shared" ca="1" si="4"/>
        <v>37</v>
      </c>
      <c r="K73" s="74" t="s">
        <v>377</v>
      </c>
      <c r="L73" s="65"/>
      <c r="M73" s="74" t="s">
        <v>440</v>
      </c>
      <c r="N73" s="65">
        <v>1984</v>
      </c>
      <c r="O73" s="65">
        <f t="shared" ca="1" si="5"/>
        <v>37</v>
      </c>
      <c r="P73" s="74" t="s">
        <v>377</v>
      </c>
      <c r="Q73" s="65"/>
      <c r="R73" s="65">
        <f t="shared" ca="1" si="6"/>
        <v>37</v>
      </c>
      <c r="S73" s="65">
        <v>1984</v>
      </c>
      <c r="T73" s="74" t="s">
        <v>440</v>
      </c>
      <c r="U73" s="65" t="s">
        <v>377</v>
      </c>
    </row>
    <row r="74" spans="8:21" x14ac:dyDescent="0.15">
      <c r="H74" s="65">
        <v>1985</v>
      </c>
      <c r="I74" s="74" t="s">
        <v>441</v>
      </c>
      <c r="J74" s="65">
        <f t="shared" ca="1" si="4"/>
        <v>36</v>
      </c>
      <c r="K74" s="74" t="s">
        <v>379</v>
      </c>
      <c r="L74" s="65"/>
      <c r="M74" s="74" t="s">
        <v>441</v>
      </c>
      <c r="N74" s="65">
        <v>1985</v>
      </c>
      <c r="O74" s="65">
        <f t="shared" ca="1" si="5"/>
        <v>36</v>
      </c>
      <c r="P74" s="74" t="s">
        <v>379</v>
      </c>
      <c r="Q74" s="65"/>
      <c r="R74" s="65">
        <f t="shared" ca="1" si="6"/>
        <v>36</v>
      </c>
      <c r="S74" s="65">
        <v>1985</v>
      </c>
      <c r="T74" s="74" t="s">
        <v>441</v>
      </c>
      <c r="U74" s="65" t="s">
        <v>379</v>
      </c>
    </row>
    <row r="75" spans="8:21" x14ac:dyDescent="0.15">
      <c r="H75" s="65">
        <v>1986</v>
      </c>
      <c r="I75" s="74" t="s">
        <v>442</v>
      </c>
      <c r="J75" s="65">
        <f t="shared" ca="1" si="4"/>
        <v>35</v>
      </c>
      <c r="K75" s="74" t="s">
        <v>381</v>
      </c>
      <c r="L75" s="65"/>
      <c r="M75" s="74" t="s">
        <v>442</v>
      </c>
      <c r="N75" s="65">
        <v>1986</v>
      </c>
      <c r="O75" s="65">
        <f t="shared" ca="1" si="5"/>
        <v>35</v>
      </c>
      <c r="P75" s="74" t="s">
        <v>381</v>
      </c>
      <c r="Q75" s="65"/>
      <c r="R75" s="65">
        <f t="shared" ca="1" si="6"/>
        <v>35</v>
      </c>
      <c r="S75" s="65">
        <v>1986</v>
      </c>
      <c r="T75" s="74" t="s">
        <v>442</v>
      </c>
      <c r="U75" s="65" t="s">
        <v>381</v>
      </c>
    </row>
    <row r="76" spans="8:21" x14ac:dyDescent="0.15">
      <c r="H76" s="65">
        <v>1987</v>
      </c>
      <c r="I76" s="74" t="s">
        <v>443</v>
      </c>
      <c r="J76" s="65">
        <f t="shared" ca="1" si="4"/>
        <v>34</v>
      </c>
      <c r="K76" s="74" t="s">
        <v>383</v>
      </c>
      <c r="L76" s="65"/>
      <c r="M76" s="74" t="s">
        <v>443</v>
      </c>
      <c r="N76" s="65">
        <v>1987</v>
      </c>
      <c r="O76" s="65">
        <f t="shared" ca="1" si="5"/>
        <v>34</v>
      </c>
      <c r="P76" s="74" t="s">
        <v>383</v>
      </c>
      <c r="Q76" s="65"/>
      <c r="R76" s="65">
        <f t="shared" ca="1" si="6"/>
        <v>34</v>
      </c>
      <c r="S76" s="65">
        <v>1987</v>
      </c>
      <c r="T76" s="74" t="s">
        <v>443</v>
      </c>
      <c r="U76" s="65" t="s">
        <v>383</v>
      </c>
    </row>
    <row r="77" spans="8:21" x14ac:dyDescent="0.15">
      <c r="H77" s="65">
        <v>1988</v>
      </c>
      <c r="I77" s="74" t="s">
        <v>444</v>
      </c>
      <c r="J77" s="65">
        <f t="shared" ca="1" si="4"/>
        <v>33</v>
      </c>
      <c r="K77" s="74" t="s">
        <v>361</v>
      </c>
      <c r="L77" s="65"/>
      <c r="M77" s="74" t="s">
        <v>444</v>
      </c>
      <c r="N77" s="65">
        <v>1988</v>
      </c>
      <c r="O77" s="65">
        <f t="shared" ca="1" si="5"/>
        <v>33</v>
      </c>
      <c r="P77" s="74" t="s">
        <v>361</v>
      </c>
      <c r="Q77" s="65"/>
      <c r="R77" s="65">
        <f t="shared" ca="1" si="6"/>
        <v>33</v>
      </c>
      <c r="S77" s="65">
        <v>1988</v>
      </c>
      <c r="T77" s="74" t="s">
        <v>444</v>
      </c>
      <c r="U77" s="65" t="s">
        <v>361</v>
      </c>
    </row>
    <row r="78" spans="8:21" x14ac:dyDescent="0.15">
      <c r="H78" s="65">
        <v>1989</v>
      </c>
      <c r="I78" s="74" t="s">
        <v>445</v>
      </c>
      <c r="J78" s="65">
        <f t="shared" ca="1" si="4"/>
        <v>32</v>
      </c>
      <c r="K78" s="74" t="s">
        <v>363</v>
      </c>
      <c r="L78" s="65"/>
      <c r="M78" s="74" t="s">
        <v>445</v>
      </c>
      <c r="N78" s="65">
        <v>1989</v>
      </c>
      <c r="O78" s="65">
        <f t="shared" ca="1" si="5"/>
        <v>32</v>
      </c>
      <c r="P78" s="74" t="s">
        <v>363</v>
      </c>
      <c r="Q78" s="65"/>
      <c r="R78" s="65">
        <f t="shared" ca="1" si="6"/>
        <v>32</v>
      </c>
      <c r="S78" s="65">
        <v>1989</v>
      </c>
      <c r="T78" s="74" t="s">
        <v>445</v>
      </c>
      <c r="U78" s="65" t="s">
        <v>363</v>
      </c>
    </row>
    <row r="79" spans="8:21" x14ac:dyDescent="0.15">
      <c r="H79" s="65">
        <v>1990</v>
      </c>
      <c r="I79" s="74" t="s">
        <v>446</v>
      </c>
      <c r="J79" s="65">
        <f t="shared" ca="1" si="4"/>
        <v>31</v>
      </c>
      <c r="K79" s="74" t="s">
        <v>365</v>
      </c>
      <c r="L79" s="65"/>
      <c r="M79" s="74" t="s">
        <v>446</v>
      </c>
      <c r="N79" s="65">
        <v>1990</v>
      </c>
      <c r="O79" s="65">
        <f t="shared" ca="1" si="5"/>
        <v>31</v>
      </c>
      <c r="P79" s="74" t="s">
        <v>365</v>
      </c>
      <c r="Q79" s="65"/>
      <c r="R79" s="65">
        <f t="shared" ca="1" si="6"/>
        <v>31</v>
      </c>
      <c r="S79" s="65">
        <v>1990</v>
      </c>
      <c r="T79" s="74" t="s">
        <v>446</v>
      </c>
      <c r="U79" s="65" t="s">
        <v>365</v>
      </c>
    </row>
    <row r="80" spans="8:21" x14ac:dyDescent="0.15">
      <c r="H80" s="65">
        <v>1991</v>
      </c>
      <c r="I80" s="74" t="s">
        <v>447</v>
      </c>
      <c r="J80" s="65">
        <f t="shared" ca="1" si="4"/>
        <v>30</v>
      </c>
      <c r="K80" s="74" t="s">
        <v>367</v>
      </c>
      <c r="L80" s="65"/>
      <c r="M80" s="74" t="s">
        <v>447</v>
      </c>
      <c r="N80" s="65">
        <v>1991</v>
      </c>
      <c r="O80" s="65">
        <f t="shared" ca="1" si="5"/>
        <v>30</v>
      </c>
      <c r="P80" s="74" t="s">
        <v>367</v>
      </c>
      <c r="Q80" s="65"/>
      <c r="R80" s="65">
        <f t="shared" ca="1" si="6"/>
        <v>30</v>
      </c>
      <c r="S80" s="65">
        <v>1991</v>
      </c>
      <c r="T80" s="74" t="s">
        <v>447</v>
      </c>
      <c r="U80" s="65" t="s">
        <v>367</v>
      </c>
    </row>
    <row r="81" spans="8:21" x14ac:dyDescent="0.15">
      <c r="H81" s="65">
        <v>1992</v>
      </c>
      <c r="I81" s="74" t="s">
        <v>448</v>
      </c>
      <c r="J81" s="65">
        <f t="shared" ca="1" si="4"/>
        <v>29</v>
      </c>
      <c r="K81" s="74" t="s">
        <v>369</v>
      </c>
      <c r="L81" s="65"/>
      <c r="M81" s="74" t="s">
        <v>448</v>
      </c>
      <c r="N81" s="65">
        <v>1992</v>
      </c>
      <c r="O81" s="65">
        <f t="shared" ca="1" si="5"/>
        <v>29</v>
      </c>
      <c r="P81" s="74" t="s">
        <v>369</v>
      </c>
      <c r="Q81" s="65"/>
      <c r="R81" s="65">
        <f t="shared" ca="1" si="6"/>
        <v>29</v>
      </c>
      <c r="S81" s="65">
        <v>1992</v>
      </c>
      <c r="T81" s="74" t="s">
        <v>448</v>
      </c>
      <c r="U81" s="65" t="s">
        <v>369</v>
      </c>
    </row>
    <row r="82" spans="8:21" x14ac:dyDescent="0.15">
      <c r="H82" s="65">
        <v>1993</v>
      </c>
      <c r="I82" s="74" t="s">
        <v>449</v>
      </c>
      <c r="J82" s="65">
        <f t="shared" ca="1" si="4"/>
        <v>28</v>
      </c>
      <c r="K82" s="74" t="s">
        <v>371</v>
      </c>
      <c r="L82" s="65"/>
      <c r="M82" s="74" t="s">
        <v>449</v>
      </c>
      <c r="N82" s="65">
        <v>1993</v>
      </c>
      <c r="O82" s="65">
        <f t="shared" ca="1" si="5"/>
        <v>28</v>
      </c>
      <c r="P82" s="74" t="s">
        <v>371</v>
      </c>
      <c r="Q82" s="65"/>
      <c r="R82" s="65">
        <f t="shared" ca="1" si="6"/>
        <v>28</v>
      </c>
      <c r="S82" s="65">
        <v>1993</v>
      </c>
      <c r="T82" s="74" t="s">
        <v>449</v>
      </c>
      <c r="U82" s="65" t="s">
        <v>371</v>
      </c>
    </row>
    <row r="83" spans="8:21" x14ac:dyDescent="0.15">
      <c r="H83" s="65">
        <v>1994</v>
      </c>
      <c r="I83" s="74" t="s">
        <v>450</v>
      </c>
      <c r="J83" s="65">
        <f t="shared" ca="1" si="4"/>
        <v>27</v>
      </c>
      <c r="K83" s="74" t="s">
        <v>373</v>
      </c>
      <c r="L83" s="65"/>
      <c r="M83" s="74" t="s">
        <v>450</v>
      </c>
      <c r="N83" s="65">
        <v>1994</v>
      </c>
      <c r="O83" s="65">
        <f t="shared" ca="1" si="5"/>
        <v>27</v>
      </c>
      <c r="P83" s="74" t="s">
        <v>373</v>
      </c>
      <c r="Q83" s="65"/>
      <c r="R83" s="65">
        <f t="shared" ca="1" si="6"/>
        <v>27</v>
      </c>
      <c r="S83" s="65">
        <v>1994</v>
      </c>
      <c r="T83" s="74" t="s">
        <v>450</v>
      </c>
      <c r="U83" s="65" t="s">
        <v>373</v>
      </c>
    </row>
    <row r="84" spans="8:21" x14ac:dyDescent="0.15">
      <c r="H84" s="65">
        <v>1995</v>
      </c>
      <c r="I84" s="74" t="s">
        <v>451</v>
      </c>
      <c r="J84" s="65">
        <f t="shared" ca="1" si="4"/>
        <v>26</v>
      </c>
      <c r="K84" s="74" t="s">
        <v>375</v>
      </c>
      <c r="L84" s="65"/>
      <c r="M84" s="74" t="s">
        <v>451</v>
      </c>
      <c r="N84" s="65">
        <v>1995</v>
      </c>
      <c r="O84" s="65">
        <f t="shared" ca="1" si="5"/>
        <v>26</v>
      </c>
      <c r="P84" s="74" t="s">
        <v>375</v>
      </c>
      <c r="Q84" s="65"/>
      <c r="R84" s="65">
        <f t="shared" ca="1" si="6"/>
        <v>26</v>
      </c>
      <c r="S84" s="65">
        <v>1995</v>
      </c>
      <c r="T84" s="74" t="s">
        <v>451</v>
      </c>
      <c r="U84" s="65" t="s">
        <v>375</v>
      </c>
    </row>
    <row r="85" spans="8:21" x14ac:dyDescent="0.15">
      <c r="H85" s="65">
        <v>1996</v>
      </c>
      <c r="I85" s="74" t="s">
        <v>452</v>
      </c>
      <c r="J85" s="65">
        <f t="shared" ca="1" si="4"/>
        <v>25</v>
      </c>
      <c r="K85" s="74" t="s">
        <v>377</v>
      </c>
      <c r="L85" s="65"/>
      <c r="M85" s="74" t="s">
        <v>452</v>
      </c>
      <c r="N85" s="65">
        <v>1996</v>
      </c>
      <c r="O85" s="65">
        <f t="shared" ca="1" si="5"/>
        <v>25</v>
      </c>
      <c r="P85" s="74" t="s">
        <v>377</v>
      </c>
      <c r="Q85" s="65"/>
      <c r="R85" s="65">
        <f t="shared" ca="1" si="6"/>
        <v>25</v>
      </c>
      <c r="S85" s="65">
        <v>1996</v>
      </c>
      <c r="T85" s="74" t="s">
        <v>452</v>
      </c>
      <c r="U85" s="65" t="s">
        <v>377</v>
      </c>
    </row>
    <row r="86" spans="8:21" x14ac:dyDescent="0.15">
      <c r="H86" s="65">
        <v>1997</v>
      </c>
      <c r="I86" s="74" t="s">
        <v>453</v>
      </c>
      <c r="J86" s="65">
        <f t="shared" ca="1" si="4"/>
        <v>24</v>
      </c>
      <c r="K86" s="74" t="s">
        <v>379</v>
      </c>
      <c r="L86" s="65"/>
      <c r="M86" s="74" t="s">
        <v>453</v>
      </c>
      <c r="N86" s="65">
        <v>1997</v>
      </c>
      <c r="O86" s="65">
        <f t="shared" ca="1" si="5"/>
        <v>24</v>
      </c>
      <c r="P86" s="74" t="s">
        <v>379</v>
      </c>
      <c r="Q86" s="65"/>
      <c r="R86" s="65">
        <f t="shared" ca="1" si="6"/>
        <v>24</v>
      </c>
      <c r="S86" s="65">
        <v>1997</v>
      </c>
      <c r="T86" s="74" t="s">
        <v>453</v>
      </c>
      <c r="U86" s="65" t="s">
        <v>379</v>
      </c>
    </row>
    <row r="87" spans="8:21" x14ac:dyDescent="0.15">
      <c r="H87" s="65">
        <v>1998</v>
      </c>
      <c r="I87" s="74" t="s">
        <v>454</v>
      </c>
      <c r="J87" s="65">
        <f t="shared" ca="1" si="4"/>
        <v>23</v>
      </c>
      <c r="K87" s="74" t="s">
        <v>381</v>
      </c>
      <c r="L87" s="65"/>
      <c r="M87" s="74" t="s">
        <v>454</v>
      </c>
      <c r="N87" s="65">
        <v>1998</v>
      </c>
      <c r="O87" s="65">
        <f t="shared" ca="1" si="5"/>
        <v>23</v>
      </c>
      <c r="P87" s="74" t="s">
        <v>381</v>
      </c>
      <c r="Q87" s="65"/>
      <c r="R87" s="65">
        <f t="shared" ca="1" si="6"/>
        <v>23</v>
      </c>
      <c r="S87" s="65">
        <v>1998</v>
      </c>
      <c r="T87" s="74" t="s">
        <v>454</v>
      </c>
      <c r="U87" s="65" t="s">
        <v>381</v>
      </c>
    </row>
    <row r="88" spans="8:21" x14ac:dyDescent="0.15">
      <c r="H88" s="65">
        <v>1999</v>
      </c>
      <c r="I88" s="74" t="s">
        <v>455</v>
      </c>
      <c r="J88" s="65">
        <f t="shared" ca="1" si="4"/>
        <v>22</v>
      </c>
      <c r="K88" s="74" t="s">
        <v>383</v>
      </c>
      <c r="L88" s="65"/>
      <c r="M88" s="74" t="s">
        <v>455</v>
      </c>
      <c r="N88" s="65">
        <v>1999</v>
      </c>
      <c r="O88" s="65">
        <f t="shared" ca="1" si="5"/>
        <v>22</v>
      </c>
      <c r="P88" s="74" t="s">
        <v>383</v>
      </c>
      <c r="Q88" s="65"/>
      <c r="R88" s="65">
        <f t="shared" ca="1" si="6"/>
        <v>22</v>
      </c>
      <c r="S88" s="65">
        <v>1999</v>
      </c>
      <c r="T88" s="74" t="s">
        <v>455</v>
      </c>
      <c r="U88" s="65" t="s">
        <v>383</v>
      </c>
    </row>
    <row r="89" spans="8:21" x14ac:dyDescent="0.15">
      <c r="H89" s="65">
        <v>2000</v>
      </c>
      <c r="I89" s="74" t="s">
        <v>456</v>
      </c>
      <c r="J89" s="65">
        <f t="shared" ca="1" si="4"/>
        <v>21</v>
      </c>
      <c r="K89" s="74" t="s">
        <v>361</v>
      </c>
      <c r="L89" s="65"/>
      <c r="M89" s="74" t="s">
        <v>456</v>
      </c>
      <c r="N89" s="65">
        <v>2000</v>
      </c>
      <c r="O89" s="65">
        <f t="shared" ca="1" si="5"/>
        <v>21</v>
      </c>
      <c r="P89" s="74" t="s">
        <v>361</v>
      </c>
      <c r="Q89" s="65"/>
      <c r="R89" s="65">
        <f t="shared" ca="1" si="6"/>
        <v>21</v>
      </c>
      <c r="S89" s="65">
        <v>2000</v>
      </c>
      <c r="T89" s="74" t="s">
        <v>456</v>
      </c>
      <c r="U89" s="65" t="s">
        <v>361</v>
      </c>
    </row>
    <row r="90" spans="8:21" x14ac:dyDescent="0.15">
      <c r="H90" s="65">
        <v>2001</v>
      </c>
      <c r="I90" s="74" t="s">
        <v>457</v>
      </c>
      <c r="J90" s="65">
        <f t="shared" ca="1" si="4"/>
        <v>20</v>
      </c>
      <c r="K90" s="74" t="s">
        <v>363</v>
      </c>
      <c r="L90" s="65"/>
      <c r="M90" s="74" t="s">
        <v>457</v>
      </c>
      <c r="N90" s="65">
        <v>2001</v>
      </c>
      <c r="O90" s="65">
        <f t="shared" ca="1" si="5"/>
        <v>20</v>
      </c>
      <c r="P90" s="74" t="s">
        <v>363</v>
      </c>
      <c r="Q90" s="65"/>
      <c r="R90" s="65">
        <f t="shared" ca="1" si="6"/>
        <v>20</v>
      </c>
      <c r="S90" s="65">
        <v>2001</v>
      </c>
      <c r="T90" s="74" t="s">
        <v>457</v>
      </c>
      <c r="U90" s="65" t="s">
        <v>363</v>
      </c>
    </row>
    <row r="91" spans="8:21" x14ac:dyDescent="0.15">
      <c r="H91" s="65">
        <v>2002</v>
      </c>
      <c r="I91" s="74" t="s">
        <v>458</v>
      </c>
      <c r="J91" s="65">
        <f t="shared" ca="1" si="4"/>
        <v>19</v>
      </c>
      <c r="K91" s="74" t="s">
        <v>365</v>
      </c>
      <c r="L91" s="65"/>
      <c r="M91" s="74" t="s">
        <v>458</v>
      </c>
      <c r="N91" s="65">
        <v>2002</v>
      </c>
      <c r="O91" s="65">
        <f t="shared" ca="1" si="5"/>
        <v>19</v>
      </c>
      <c r="P91" s="74" t="s">
        <v>365</v>
      </c>
      <c r="Q91" s="65"/>
      <c r="R91" s="65">
        <f t="shared" ca="1" si="6"/>
        <v>19</v>
      </c>
      <c r="S91" s="65">
        <v>2002</v>
      </c>
      <c r="T91" s="74" t="s">
        <v>458</v>
      </c>
      <c r="U91" s="65" t="s">
        <v>365</v>
      </c>
    </row>
    <row r="92" spans="8:21" x14ac:dyDescent="0.15">
      <c r="H92" s="65">
        <v>2003</v>
      </c>
      <c r="I92" s="74" t="s">
        <v>459</v>
      </c>
      <c r="J92" s="65">
        <f t="shared" ca="1" si="4"/>
        <v>18</v>
      </c>
      <c r="K92" s="74" t="s">
        <v>367</v>
      </c>
      <c r="L92" s="65"/>
      <c r="M92" s="74" t="s">
        <v>459</v>
      </c>
      <c r="N92" s="65">
        <v>2003</v>
      </c>
      <c r="O92" s="65">
        <f t="shared" ca="1" si="5"/>
        <v>18</v>
      </c>
      <c r="P92" s="74" t="s">
        <v>367</v>
      </c>
      <c r="Q92" s="65"/>
      <c r="R92" s="65">
        <f t="shared" ca="1" si="6"/>
        <v>18</v>
      </c>
      <c r="S92" s="65">
        <v>2003</v>
      </c>
      <c r="T92" s="74" t="s">
        <v>459</v>
      </c>
      <c r="U92" s="65" t="s">
        <v>367</v>
      </c>
    </row>
    <row r="93" spans="8:21" x14ac:dyDescent="0.15">
      <c r="H93" s="65">
        <v>2004</v>
      </c>
      <c r="I93" s="74" t="s">
        <v>460</v>
      </c>
      <c r="J93" s="65">
        <f t="shared" ca="1" si="4"/>
        <v>17</v>
      </c>
      <c r="K93" s="74" t="s">
        <v>369</v>
      </c>
      <c r="L93" s="65"/>
      <c r="M93" s="74" t="s">
        <v>460</v>
      </c>
      <c r="N93" s="65">
        <v>2004</v>
      </c>
      <c r="O93" s="65">
        <f t="shared" ca="1" si="5"/>
        <v>17</v>
      </c>
      <c r="P93" s="74" t="s">
        <v>369</v>
      </c>
      <c r="Q93" s="65"/>
      <c r="R93" s="65">
        <f t="shared" ca="1" si="6"/>
        <v>17</v>
      </c>
      <c r="S93" s="65">
        <v>2004</v>
      </c>
      <c r="T93" s="74" t="s">
        <v>460</v>
      </c>
      <c r="U93" s="65" t="s">
        <v>369</v>
      </c>
    </row>
    <row r="94" spans="8:21" x14ac:dyDescent="0.15">
      <c r="H94" s="65">
        <v>2005</v>
      </c>
      <c r="I94" s="74" t="s">
        <v>461</v>
      </c>
      <c r="J94" s="65">
        <f t="shared" ca="1" si="4"/>
        <v>16</v>
      </c>
      <c r="K94" s="74" t="s">
        <v>371</v>
      </c>
      <c r="L94" s="65"/>
      <c r="M94" s="74" t="s">
        <v>461</v>
      </c>
      <c r="N94" s="65">
        <v>2005</v>
      </c>
      <c r="O94" s="65">
        <f t="shared" ca="1" si="5"/>
        <v>16</v>
      </c>
      <c r="P94" s="74" t="s">
        <v>371</v>
      </c>
      <c r="Q94" s="65"/>
      <c r="R94" s="65">
        <f t="shared" ca="1" si="6"/>
        <v>16</v>
      </c>
      <c r="S94" s="65">
        <v>2005</v>
      </c>
      <c r="T94" s="74" t="s">
        <v>461</v>
      </c>
      <c r="U94" s="65" t="s">
        <v>371</v>
      </c>
    </row>
    <row r="95" spans="8:21" x14ac:dyDescent="0.15">
      <c r="H95" s="65">
        <v>2006</v>
      </c>
      <c r="I95" s="74" t="s">
        <v>462</v>
      </c>
      <c r="J95" s="65">
        <f t="shared" ca="1" si="4"/>
        <v>15</v>
      </c>
      <c r="K95" s="74" t="s">
        <v>373</v>
      </c>
      <c r="L95" s="65"/>
      <c r="M95" s="74" t="s">
        <v>462</v>
      </c>
      <c r="N95" s="65">
        <v>2006</v>
      </c>
      <c r="O95" s="65">
        <f t="shared" ca="1" si="5"/>
        <v>15</v>
      </c>
      <c r="P95" s="74" t="s">
        <v>373</v>
      </c>
      <c r="Q95" s="65"/>
      <c r="R95" s="65">
        <f t="shared" ca="1" si="6"/>
        <v>15</v>
      </c>
      <c r="S95" s="65">
        <v>2006</v>
      </c>
      <c r="T95" s="74" t="s">
        <v>462</v>
      </c>
      <c r="U95" s="65" t="s">
        <v>373</v>
      </c>
    </row>
    <row r="96" spans="8:21" x14ac:dyDescent="0.15">
      <c r="H96" s="65">
        <v>2007</v>
      </c>
      <c r="I96" s="74" t="s">
        <v>463</v>
      </c>
      <c r="J96" s="65">
        <f t="shared" ca="1" si="4"/>
        <v>14</v>
      </c>
      <c r="K96" s="74" t="s">
        <v>375</v>
      </c>
      <c r="L96" s="65"/>
      <c r="M96" s="74" t="s">
        <v>463</v>
      </c>
      <c r="N96" s="65">
        <v>2007</v>
      </c>
      <c r="O96" s="65">
        <f t="shared" ca="1" si="5"/>
        <v>14</v>
      </c>
      <c r="P96" s="74" t="s">
        <v>375</v>
      </c>
      <c r="Q96" s="65"/>
      <c r="R96" s="65">
        <f t="shared" ca="1" si="6"/>
        <v>14</v>
      </c>
      <c r="S96" s="65">
        <v>2007</v>
      </c>
      <c r="T96" s="74" t="s">
        <v>463</v>
      </c>
      <c r="U96" s="65" t="s">
        <v>375</v>
      </c>
    </row>
    <row r="97" spans="8:21" x14ac:dyDescent="0.15">
      <c r="H97" s="65">
        <v>2008</v>
      </c>
      <c r="I97" s="74" t="s">
        <v>464</v>
      </c>
      <c r="J97" s="65">
        <f t="shared" ca="1" si="4"/>
        <v>13</v>
      </c>
      <c r="K97" s="74" t="s">
        <v>377</v>
      </c>
      <c r="L97" s="65"/>
      <c r="M97" s="74" t="s">
        <v>464</v>
      </c>
      <c r="N97" s="65">
        <v>2008</v>
      </c>
      <c r="O97" s="65">
        <f t="shared" ca="1" si="5"/>
        <v>13</v>
      </c>
      <c r="P97" s="74" t="s">
        <v>377</v>
      </c>
      <c r="Q97" s="65"/>
      <c r="R97" s="65">
        <f t="shared" ca="1" si="6"/>
        <v>13</v>
      </c>
      <c r="S97" s="65">
        <v>2008</v>
      </c>
      <c r="T97" s="74" t="s">
        <v>464</v>
      </c>
      <c r="U97" s="65" t="s">
        <v>377</v>
      </c>
    </row>
    <row r="98" spans="8:21" x14ac:dyDescent="0.15">
      <c r="H98" s="65">
        <v>2009</v>
      </c>
      <c r="I98" s="74" t="s">
        <v>465</v>
      </c>
      <c r="J98" s="65">
        <f t="shared" ca="1" si="4"/>
        <v>12</v>
      </c>
      <c r="K98" s="74" t="s">
        <v>379</v>
      </c>
      <c r="L98" s="65"/>
      <c r="M98" s="74" t="s">
        <v>465</v>
      </c>
      <c r="N98" s="65">
        <v>2009</v>
      </c>
      <c r="O98" s="65">
        <f t="shared" ca="1" si="5"/>
        <v>12</v>
      </c>
      <c r="P98" s="74" t="s">
        <v>379</v>
      </c>
      <c r="Q98" s="65"/>
      <c r="R98" s="65">
        <f t="shared" ca="1" si="6"/>
        <v>12</v>
      </c>
      <c r="S98" s="65">
        <v>2009</v>
      </c>
      <c r="T98" s="74" t="s">
        <v>465</v>
      </c>
      <c r="U98" s="65" t="s">
        <v>379</v>
      </c>
    </row>
    <row r="99" spans="8:21" x14ac:dyDescent="0.15">
      <c r="H99" s="65">
        <v>2010</v>
      </c>
      <c r="I99" s="74" t="s">
        <v>466</v>
      </c>
      <c r="J99" s="65">
        <f t="shared" ca="1" si="4"/>
        <v>11</v>
      </c>
      <c r="K99" s="74" t="s">
        <v>381</v>
      </c>
      <c r="L99" s="65"/>
      <c r="M99" s="74" t="s">
        <v>466</v>
      </c>
      <c r="N99" s="65">
        <v>2010</v>
      </c>
      <c r="O99" s="65">
        <f t="shared" ca="1" si="5"/>
        <v>11</v>
      </c>
      <c r="P99" s="74" t="s">
        <v>381</v>
      </c>
      <c r="Q99" s="65"/>
      <c r="R99" s="65">
        <f t="shared" ca="1" si="6"/>
        <v>11</v>
      </c>
      <c r="S99" s="65">
        <v>2010</v>
      </c>
      <c r="T99" s="74" t="s">
        <v>466</v>
      </c>
      <c r="U99" s="65" t="s">
        <v>381</v>
      </c>
    </row>
    <row r="100" spans="8:21" x14ac:dyDescent="0.15">
      <c r="H100" s="65">
        <v>2011</v>
      </c>
      <c r="I100" s="74" t="s">
        <v>467</v>
      </c>
      <c r="J100" s="65">
        <f t="shared" ca="1" si="4"/>
        <v>10</v>
      </c>
      <c r="K100" s="74" t="s">
        <v>383</v>
      </c>
      <c r="L100" s="65"/>
      <c r="M100" s="74" t="s">
        <v>467</v>
      </c>
      <c r="N100" s="65">
        <v>2011</v>
      </c>
      <c r="O100" s="65">
        <f t="shared" ca="1" si="5"/>
        <v>10</v>
      </c>
      <c r="P100" s="74" t="s">
        <v>383</v>
      </c>
      <c r="Q100" s="65"/>
      <c r="R100" s="65">
        <f t="shared" ca="1" si="6"/>
        <v>10</v>
      </c>
      <c r="S100" s="65">
        <v>2011</v>
      </c>
      <c r="T100" s="74" t="s">
        <v>467</v>
      </c>
      <c r="U100" s="65" t="s">
        <v>383</v>
      </c>
    </row>
    <row r="101" spans="8:21" x14ac:dyDescent="0.15">
      <c r="H101" s="65">
        <v>2012</v>
      </c>
      <c r="I101" s="74" t="s">
        <v>468</v>
      </c>
      <c r="J101" s="65">
        <f t="shared" ca="1" si="4"/>
        <v>9</v>
      </c>
      <c r="K101" s="74" t="s">
        <v>361</v>
      </c>
      <c r="L101" s="65"/>
      <c r="M101" s="74" t="s">
        <v>468</v>
      </c>
      <c r="N101" s="65">
        <v>2012</v>
      </c>
      <c r="O101" s="65">
        <f t="shared" ca="1" si="5"/>
        <v>9</v>
      </c>
      <c r="P101" s="74" t="s">
        <v>361</v>
      </c>
      <c r="Q101" s="65"/>
      <c r="R101" s="65">
        <f t="shared" ca="1" si="6"/>
        <v>9</v>
      </c>
      <c r="S101" s="65">
        <v>2012</v>
      </c>
      <c r="T101" s="74" t="s">
        <v>468</v>
      </c>
      <c r="U101" s="65" t="s">
        <v>361</v>
      </c>
    </row>
    <row r="102" spans="8:21" x14ac:dyDescent="0.15">
      <c r="H102" s="65">
        <v>2013</v>
      </c>
      <c r="I102" s="74" t="s">
        <v>469</v>
      </c>
      <c r="J102" s="65">
        <f t="shared" ref="J102:J108" ca="1" si="7">J101-1</f>
        <v>8</v>
      </c>
      <c r="K102" s="74" t="s">
        <v>363</v>
      </c>
      <c r="L102" s="65"/>
      <c r="M102" s="74" t="s">
        <v>469</v>
      </c>
      <c r="N102" s="65">
        <v>2013</v>
      </c>
      <c r="O102" s="65">
        <f t="shared" ca="1" si="5"/>
        <v>8</v>
      </c>
      <c r="P102" s="74" t="s">
        <v>363</v>
      </c>
      <c r="Q102" s="65"/>
      <c r="R102" s="65">
        <f t="shared" ca="1" si="6"/>
        <v>8</v>
      </c>
      <c r="S102" s="65">
        <v>2013</v>
      </c>
      <c r="T102" s="74" t="s">
        <v>469</v>
      </c>
      <c r="U102" s="65" t="s">
        <v>363</v>
      </c>
    </row>
    <row r="103" spans="8:21" x14ac:dyDescent="0.15">
      <c r="H103" s="65">
        <v>2014</v>
      </c>
      <c r="I103" s="74" t="s">
        <v>470</v>
      </c>
      <c r="J103" s="65">
        <f t="shared" ca="1" si="7"/>
        <v>7</v>
      </c>
      <c r="K103" s="74" t="s">
        <v>365</v>
      </c>
      <c r="L103" s="65"/>
      <c r="M103" s="74" t="s">
        <v>470</v>
      </c>
      <c r="N103" s="65">
        <v>2014</v>
      </c>
      <c r="O103" s="65">
        <f t="shared" ca="1" si="5"/>
        <v>7</v>
      </c>
      <c r="P103" s="74" t="s">
        <v>365</v>
      </c>
      <c r="Q103" s="65"/>
      <c r="R103" s="65">
        <f t="shared" ca="1" si="6"/>
        <v>7</v>
      </c>
      <c r="S103" s="65">
        <v>2014</v>
      </c>
      <c r="T103" s="74" t="s">
        <v>470</v>
      </c>
      <c r="U103" s="65" t="s">
        <v>365</v>
      </c>
    </row>
    <row r="104" spans="8:21" x14ac:dyDescent="0.15">
      <c r="H104" s="65">
        <v>2015</v>
      </c>
      <c r="I104" s="74" t="s">
        <v>471</v>
      </c>
      <c r="J104" s="65">
        <f t="shared" ca="1" si="7"/>
        <v>6</v>
      </c>
      <c r="K104" s="74" t="s">
        <v>367</v>
      </c>
      <c r="L104" s="65"/>
      <c r="M104" s="74" t="s">
        <v>471</v>
      </c>
      <c r="N104" s="65">
        <v>2015</v>
      </c>
      <c r="O104" s="65">
        <f t="shared" ca="1" si="5"/>
        <v>6</v>
      </c>
      <c r="P104" s="74" t="s">
        <v>367</v>
      </c>
      <c r="Q104" s="65"/>
      <c r="R104" s="65">
        <f t="shared" ca="1" si="6"/>
        <v>6</v>
      </c>
      <c r="S104" s="65">
        <v>2015</v>
      </c>
      <c r="T104" s="74" t="s">
        <v>471</v>
      </c>
      <c r="U104" s="65" t="s">
        <v>367</v>
      </c>
    </row>
    <row r="105" spans="8:21" x14ac:dyDescent="0.15">
      <c r="H105" s="65">
        <v>2016</v>
      </c>
      <c r="I105" s="74" t="s">
        <v>472</v>
      </c>
      <c r="J105" s="65">
        <f t="shared" ca="1" si="7"/>
        <v>5</v>
      </c>
      <c r="K105" s="74" t="s">
        <v>369</v>
      </c>
      <c r="L105" s="65"/>
      <c r="M105" s="74" t="s">
        <v>472</v>
      </c>
      <c r="N105" s="65">
        <v>2016</v>
      </c>
      <c r="O105" s="65">
        <f t="shared" ca="1" si="5"/>
        <v>5</v>
      </c>
      <c r="P105" s="74" t="s">
        <v>369</v>
      </c>
      <c r="Q105" s="65"/>
      <c r="R105" s="65">
        <f t="shared" ca="1" si="6"/>
        <v>5</v>
      </c>
      <c r="S105" s="65">
        <v>2016</v>
      </c>
      <c r="T105" s="74" t="s">
        <v>472</v>
      </c>
      <c r="U105" s="65" t="s">
        <v>369</v>
      </c>
    </row>
    <row r="106" spans="8:21" x14ac:dyDescent="0.15">
      <c r="H106" s="65">
        <v>2017</v>
      </c>
      <c r="I106" s="74" t="s">
        <v>473</v>
      </c>
      <c r="J106" s="65">
        <f t="shared" ca="1" si="7"/>
        <v>4</v>
      </c>
      <c r="K106" s="74" t="s">
        <v>371</v>
      </c>
      <c r="L106" s="65"/>
      <c r="M106" s="74" t="s">
        <v>473</v>
      </c>
      <c r="N106" s="65">
        <v>2017</v>
      </c>
      <c r="O106" s="65">
        <f t="shared" ca="1" si="5"/>
        <v>4</v>
      </c>
      <c r="P106" s="74" t="s">
        <v>371</v>
      </c>
      <c r="Q106" s="65"/>
      <c r="R106" s="65">
        <f t="shared" ca="1" si="6"/>
        <v>4</v>
      </c>
      <c r="S106" s="65">
        <v>2017</v>
      </c>
      <c r="T106" s="74" t="s">
        <v>473</v>
      </c>
      <c r="U106" s="65" t="s">
        <v>371</v>
      </c>
    </row>
    <row r="107" spans="8:21" x14ac:dyDescent="0.15">
      <c r="H107" s="65">
        <v>2018</v>
      </c>
      <c r="I107" s="74" t="s">
        <v>474</v>
      </c>
      <c r="J107" s="65">
        <f t="shared" ca="1" si="7"/>
        <v>3</v>
      </c>
      <c r="K107" s="74" t="s">
        <v>373</v>
      </c>
      <c r="L107" s="65"/>
      <c r="M107" s="74" t="s">
        <v>474</v>
      </c>
      <c r="N107" s="65">
        <v>2018</v>
      </c>
      <c r="O107" s="65">
        <f t="shared" ca="1" si="5"/>
        <v>3</v>
      </c>
      <c r="P107" s="74" t="s">
        <v>373</v>
      </c>
      <c r="Q107" s="65"/>
      <c r="R107" s="65">
        <f t="shared" ca="1" si="6"/>
        <v>3</v>
      </c>
      <c r="S107" s="65">
        <v>2018</v>
      </c>
      <c r="T107" s="74" t="s">
        <v>474</v>
      </c>
      <c r="U107" s="65" t="s">
        <v>373</v>
      </c>
    </row>
    <row r="108" spans="8:21" x14ac:dyDescent="0.15">
      <c r="H108" s="65">
        <v>2019</v>
      </c>
      <c r="I108" s="74" t="s">
        <v>475</v>
      </c>
      <c r="J108" s="65">
        <f t="shared" ca="1" si="7"/>
        <v>2</v>
      </c>
      <c r="K108" s="74" t="s">
        <v>375</v>
      </c>
      <c r="L108" s="65"/>
      <c r="M108" s="74" t="s">
        <v>475</v>
      </c>
      <c r="N108" s="65">
        <v>2019</v>
      </c>
      <c r="O108" s="65">
        <f t="shared" ca="1" si="5"/>
        <v>2</v>
      </c>
      <c r="P108" s="74" t="s">
        <v>375</v>
      </c>
      <c r="Q108" s="65"/>
      <c r="R108" s="65">
        <f t="shared" ca="1" si="6"/>
        <v>2</v>
      </c>
      <c r="S108" s="65">
        <v>2019</v>
      </c>
      <c r="T108" s="74" t="s">
        <v>475</v>
      </c>
      <c r="U108" s="65" t="s">
        <v>375</v>
      </c>
    </row>
    <row r="109" spans="8:21" x14ac:dyDescent="0.15">
      <c r="H109" s="65">
        <v>2020</v>
      </c>
      <c r="I109" s="74" t="s">
        <v>494</v>
      </c>
      <c r="J109" s="65">
        <f t="shared" ref="J109:J144" ca="1" si="8">J108-1</f>
        <v>1</v>
      </c>
      <c r="K109" s="74" t="s">
        <v>377</v>
      </c>
      <c r="L109" s="64"/>
      <c r="M109" s="74" t="s">
        <v>494</v>
      </c>
      <c r="N109" s="65">
        <v>2020</v>
      </c>
      <c r="O109" s="65">
        <f t="shared" ca="1" si="5"/>
        <v>1</v>
      </c>
      <c r="P109" s="74" t="s">
        <v>377</v>
      </c>
      <c r="Q109" s="64"/>
      <c r="R109" s="65">
        <f t="shared" ca="1" si="6"/>
        <v>1</v>
      </c>
      <c r="S109" s="65">
        <v>2020</v>
      </c>
      <c r="T109" s="74" t="s">
        <v>494</v>
      </c>
      <c r="U109" s="65" t="s">
        <v>377</v>
      </c>
    </row>
    <row r="110" spans="8:21" x14ac:dyDescent="0.15">
      <c r="H110" s="65">
        <v>2021</v>
      </c>
      <c r="I110" s="74" t="s">
        <v>495</v>
      </c>
      <c r="J110" s="65">
        <f t="shared" ca="1" si="8"/>
        <v>0</v>
      </c>
      <c r="K110" s="74" t="s">
        <v>379</v>
      </c>
      <c r="L110" s="64"/>
      <c r="M110" s="74" t="s">
        <v>495</v>
      </c>
      <c r="N110" s="65">
        <v>2021</v>
      </c>
      <c r="O110" s="65">
        <f t="shared" ca="1" si="5"/>
        <v>0</v>
      </c>
      <c r="P110" s="74" t="s">
        <v>379</v>
      </c>
      <c r="Q110" s="64"/>
      <c r="R110" s="65">
        <f t="shared" ca="1" si="6"/>
        <v>0</v>
      </c>
      <c r="S110" s="65">
        <v>2021</v>
      </c>
      <c r="T110" s="74" t="s">
        <v>495</v>
      </c>
      <c r="U110" s="65" t="s">
        <v>379</v>
      </c>
    </row>
    <row r="111" spans="8:21" x14ac:dyDescent="0.15">
      <c r="H111" s="65">
        <v>2022</v>
      </c>
      <c r="I111" s="74" t="s">
        <v>496</v>
      </c>
      <c r="J111" s="65">
        <f t="shared" ca="1" si="8"/>
        <v>-1</v>
      </c>
      <c r="K111" s="74" t="s">
        <v>381</v>
      </c>
      <c r="L111" s="64"/>
      <c r="M111" s="74" t="s">
        <v>496</v>
      </c>
      <c r="N111" s="65">
        <v>2022</v>
      </c>
      <c r="O111" s="65">
        <f t="shared" ca="1" si="5"/>
        <v>-1</v>
      </c>
      <c r="P111" s="74" t="s">
        <v>381</v>
      </c>
      <c r="Q111" s="64"/>
      <c r="R111" s="65">
        <f t="shared" ca="1" si="6"/>
        <v>-1</v>
      </c>
      <c r="S111" s="65">
        <v>2022</v>
      </c>
      <c r="T111" s="74" t="s">
        <v>496</v>
      </c>
      <c r="U111" s="65" t="s">
        <v>381</v>
      </c>
    </row>
    <row r="112" spans="8:21" x14ac:dyDescent="0.15">
      <c r="H112" s="65">
        <v>2023</v>
      </c>
      <c r="I112" s="74" t="s">
        <v>497</v>
      </c>
      <c r="J112" s="65">
        <f t="shared" ca="1" si="8"/>
        <v>-2</v>
      </c>
      <c r="K112" s="74" t="s">
        <v>383</v>
      </c>
      <c r="L112" s="64"/>
      <c r="M112" s="74" t="s">
        <v>497</v>
      </c>
      <c r="N112" s="65">
        <v>2023</v>
      </c>
      <c r="O112" s="65">
        <f t="shared" ca="1" si="5"/>
        <v>-2</v>
      </c>
      <c r="P112" s="74" t="s">
        <v>383</v>
      </c>
      <c r="Q112" s="64"/>
      <c r="R112" s="65">
        <f t="shared" ca="1" si="6"/>
        <v>-2</v>
      </c>
      <c r="S112" s="65">
        <v>2023</v>
      </c>
      <c r="T112" s="74" t="s">
        <v>497</v>
      </c>
      <c r="U112" s="65" t="s">
        <v>383</v>
      </c>
    </row>
    <row r="113" spans="8:21" x14ac:dyDescent="0.15">
      <c r="H113" s="65">
        <v>2024</v>
      </c>
      <c r="I113" s="74" t="s">
        <v>498</v>
      </c>
      <c r="J113" s="65">
        <f t="shared" ca="1" si="8"/>
        <v>-3</v>
      </c>
      <c r="K113" s="74" t="s">
        <v>361</v>
      </c>
      <c r="L113" s="64"/>
      <c r="M113" s="74" t="s">
        <v>498</v>
      </c>
      <c r="N113" s="65">
        <v>2024</v>
      </c>
      <c r="O113" s="65">
        <f t="shared" ca="1" si="5"/>
        <v>-3</v>
      </c>
      <c r="P113" s="74" t="s">
        <v>361</v>
      </c>
      <c r="Q113" s="64"/>
      <c r="R113" s="65">
        <f t="shared" ca="1" si="6"/>
        <v>-3</v>
      </c>
      <c r="S113" s="65">
        <v>2024</v>
      </c>
      <c r="T113" s="74" t="s">
        <v>498</v>
      </c>
      <c r="U113" s="65" t="s">
        <v>361</v>
      </c>
    </row>
    <row r="114" spans="8:21" x14ac:dyDescent="0.15">
      <c r="H114" s="65">
        <v>2025</v>
      </c>
      <c r="I114" s="74" t="s">
        <v>499</v>
      </c>
      <c r="J114" s="65">
        <f t="shared" ca="1" si="8"/>
        <v>-4</v>
      </c>
      <c r="K114" s="74" t="s">
        <v>363</v>
      </c>
      <c r="L114" s="64"/>
      <c r="M114" s="74" t="s">
        <v>499</v>
      </c>
      <c r="N114" s="65">
        <v>2025</v>
      </c>
      <c r="O114" s="65">
        <f t="shared" ca="1" si="5"/>
        <v>-4</v>
      </c>
      <c r="P114" s="74" t="s">
        <v>363</v>
      </c>
      <c r="Q114" s="64"/>
      <c r="R114" s="65">
        <f t="shared" ca="1" si="6"/>
        <v>-4</v>
      </c>
      <c r="S114" s="65">
        <v>2025</v>
      </c>
      <c r="T114" s="74" t="s">
        <v>499</v>
      </c>
      <c r="U114" s="65" t="s">
        <v>363</v>
      </c>
    </row>
    <row r="115" spans="8:21" x14ac:dyDescent="0.15">
      <c r="H115" s="65">
        <v>2026</v>
      </c>
      <c r="I115" s="74" t="s">
        <v>500</v>
      </c>
      <c r="J115" s="65">
        <f t="shared" ca="1" si="8"/>
        <v>-5</v>
      </c>
      <c r="K115" s="74" t="s">
        <v>365</v>
      </c>
      <c r="L115" s="64"/>
      <c r="M115" s="74" t="s">
        <v>500</v>
      </c>
      <c r="N115" s="65">
        <v>2026</v>
      </c>
      <c r="O115" s="65">
        <f t="shared" ca="1" si="5"/>
        <v>-5</v>
      </c>
      <c r="P115" s="74" t="s">
        <v>365</v>
      </c>
      <c r="Q115" s="64"/>
      <c r="R115" s="65">
        <f t="shared" ca="1" si="6"/>
        <v>-5</v>
      </c>
      <c r="S115" s="65">
        <v>2026</v>
      </c>
      <c r="T115" s="74" t="s">
        <v>500</v>
      </c>
      <c r="U115" s="65" t="s">
        <v>365</v>
      </c>
    </row>
    <row r="116" spans="8:21" x14ac:dyDescent="0.15">
      <c r="H116" s="65">
        <v>2027</v>
      </c>
      <c r="I116" s="74" t="s">
        <v>501</v>
      </c>
      <c r="J116" s="65">
        <f t="shared" ca="1" si="8"/>
        <v>-6</v>
      </c>
      <c r="K116" s="74" t="s">
        <v>367</v>
      </c>
      <c r="L116" s="64"/>
      <c r="M116" s="74" t="s">
        <v>501</v>
      </c>
      <c r="N116" s="65">
        <v>2027</v>
      </c>
      <c r="O116" s="65">
        <f t="shared" ca="1" si="5"/>
        <v>-6</v>
      </c>
      <c r="P116" s="74" t="s">
        <v>367</v>
      </c>
      <c r="Q116" s="64"/>
      <c r="R116" s="65">
        <f t="shared" ca="1" si="6"/>
        <v>-6</v>
      </c>
      <c r="S116" s="65">
        <v>2027</v>
      </c>
      <c r="T116" s="74" t="s">
        <v>501</v>
      </c>
      <c r="U116" s="65" t="s">
        <v>367</v>
      </c>
    </row>
    <row r="117" spans="8:21" x14ac:dyDescent="0.15">
      <c r="H117" s="65">
        <v>2028</v>
      </c>
      <c r="I117" s="74" t="s">
        <v>502</v>
      </c>
      <c r="J117" s="65">
        <f t="shared" ca="1" si="8"/>
        <v>-7</v>
      </c>
      <c r="K117" s="74" t="s">
        <v>369</v>
      </c>
      <c r="L117" s="64"/>
      <c r="M117" s="74" t="s">
        <v>502</v>
      </c>
      <c r="N117" s="65">
        <v>2028</v>
      </c>
      <c r="O117" s="65">
        <f t="shared" ca="1" si="5"/>
        <v>-7</v>
      </c>
      <c r="P117" s="74" t="s">
        <v>369</v>
      </c>
      <c r="Q117" s="64"/>
      <c r="R117" s="65">
        <f t="shared" ca="1" si="6"/>
        <v>-7</v>
      </c>
      <c r="S117" s="65">
        <v>2028</v>
      </c>
      <c r="T117" s="74" t="s">
        <v>502</v>
      </c>
      <c r="U117" s="65" t="s">
        <v>369</v>
      </c>
    </row>
    <row r="118" spans="8:21" x14ac:dyDescent="0.15">
      <c r="H118" s="65">
        <v>2029</v>
      </c>
      <c r="I118" s="74" t="s">
        <v>503</v>
      </c>
      <c r="J118" s="65">
        <f t="shared" ca="1" si="8"/>
        <v>-8</v>
      </c>
      <c r="K118" s="74" t="s">
        <v>371</v>
      </c>
      <c r="L118" s="64"/>
      <c r="M118" s="74" t="s">
        <v>503</v>
      </c>
      <c r="N118" s="65">
        <v>2029</v>
      </c>
      <c r="O118" s="65">
        <f t="shared" ca="1" si="5"/>
        <v>-8</v>
      </c>
      <c r="P118" s="74" t="s">
        <v>371</v>
      </c>
      <c r="Q118" s="64"/>
      <c r="R118" s="65">
        <f t="shared" ca="1" si="6"/>
        <v>-8</v>
      </c>
      <c r="S118" s="65">
        <v>2029</v>
      </c>
      <c r="T118" s="74" t="s">
        <v>503</v>
      </c>
      <c r="U118" s="65" t="s">
        <v>371</v>
      </c>
    </row>
    <row r="119" spans="8:21" x14ac:dyDescent="0.15">
      <c r="H119" s="65">
        <v>2030</v>
      </c>
      <c r="I119" s="74" t="s">
        <v>504</v>
      </c>
      <c r="J119" s="65">
        <f t="shared" ca="1" si="8"/>
        <v>-9</v>
      </c>
      <c r="K119" s="74" t="s">
        <v>373</v>
      </c>
      <c r="L119" s="64"/>
      <c r="M119" s="74" t="s">
        <v>504</v>
      </c>
      <c r="N119" s="65">
        <v>2030</v>
      </c>
      <c r="O119" s="65">
        <f t="shared" ca="1" si="5"/>
        <v>-9</v>
      </c>
      <c r="P119" s="74" t="s">
        <v>373</v>
      </c>
      <c r="Q119" s="64"/>
      <c r="R119" s="65">
        <f t="shared" ca="1" si="6"/>
        <v>-9</v>
      </c>
      <c r="S119" s="65">
        <v>2030</v>
      </c>
      <c r="T119" s="74" t="s">
        <v>504</v>
      </c>
      <c r="U119" s="65" t="s">
        <v>373</v>
      </c>
    </row>
    <row r="120" spans="8:21" x14ac:dyDescent="0.15">
      <c r="H120" s="65">
        <v>2031</v>
      </c>
      <c r="I120" s="74" t="s">
        <v>505</v>
      </c>
      <c r="J120" s="65">
        <f t="shared" ca="1" si="8"/>
        <v>-10</v>
      </c>
      <c r="K120" s="74" t="s">
        <v>375</v>
      </c>
      <c r="L120" s="64"/>
      <c r="M120" s="74" t="s">
        <v>505</v>
      </c>
      <c r="N120" s="65">
        <v>2031</v>
      </c>
      <c r="O120" s="65">
        <f t="shared" ca="1" si="5"/>
        <v>-10</v>
      </c>
      <c r="P120" s="74" t="s">
        <v>375</v>
      </c>
      <c r="Q120" s="64"/>
      <c r="R120" s="65">
        <f t="shared" ca="1" si="6"/>
        <v>-10</v>
      </c>
      <c r="S120" s="65">
        <v>2031</v>
      </c>
      <c r="T120" s="74" t="s">
        <v>505</v>
      </c>
      <c r="U120" s="65" t="s">
        <v>375</v>
      </c>
    </row>
    <row r="121" spans="8:21" x14ac:dyDescent="0.15">
      <c r="H121" s="65">
        <v>2032</v>
      </c>
      <c r="I121" s="74" t="s">
        <v>1571</v>
      </c>
      <c r="J121" s="65">
        <f t="shared" ca="1" si="8"/>
        <v>-11</v>
      </c>
      <c r="K121" s="74" t="s">
        <v>377</v>
      </c>
      <c r="L121" s="64"/>
      <c r="M121" s="74" t="s">
        <v>1571</v>
      </c>
      <c r="N121" s="65">
        <v>2032</v>
      </c>
      <c r="O121" s="65">
        <f t="shared" ca="1" si="5"/>
        <v>-11</v>
      </c>
      <c r="P121" s="74" t="s">
        <v>377</v>
      </c>
      <c r="Q121" s="64"/>
      <c r="R121" s="65">
        <f t="shared" ca="1" si="6"/>
        <v>-11</v>
      </c>
      <c r="S121" s="65">
        <v>2032</v>
      </c>
      <c r="T121" s="74" t="s">
        <v>1571</v>
      </c>
      <c r="U121" s="65" t="s">
        <v>377</v>
      </c>
    </row>
    <row r="122" spans="8:21" x14ac:dyDescent="0.15">
      <c r="H122" s="65">
        <v>2033</v>
      </c>
      <c r="I122" s="74" t="s">
        <v>1572</v>
      </c>
      <c r="J122" s="65">
        <f t="shared" ca="1" si="8"/>
        <v>-12</v>
      </c>
      <c r="K122" s="74" t="s">
        <v>379</v>
      </c>
      <c r="L122" s="64"/>
      <c r="M122" s="74" t="s">
        <v>1572</v>
      </c>
      <c r="N122" s="65">
        <v>2033</v>
      </c>
      <c r="O122" s="65">
        <f t="shared" ca="1" si="5"/>
        <v>-12</v>
      </c>
      <c r="P122" s="74" t="s">
        <v>379</v>
      </c>
      <c r="Q122" s="64"/>
      <c r="R122" s="65">
        <f t="shared" ca="1" si="6"/>
        <v>-12</v>
      </c>
      <c r="S122" s="65">
        <v>2033</v>
      </c>
      <c r="T122" s="74" t="s">
        <v>1572</v>
      </c>
      <c r="U122" s="65" t="s">
        <v>379</v>
      </c>
    </row>
    <row r="123" spans="8:21" x14ac:dyDescent="0.15">
      <c r="H123" s="65">
        <v>2034</v>
      </c>
      <c r="I123" s="74" t="s">
        <v>1573</v>
      </c>
      <c r="J123" s="65">
        <f t="shared" ca="1" si="8"/>
        <v>-13</v>
      </c>
      <c r="K123" s="74" t="s">
        <v>381</v>
      </c>
      <c r="L123" s="64"/>
      <c r="M123" s="74" t="s">
        <v>1573</v>
      </c>
      <c r="N123" s="65">
        <v>2034</v>
      </c>
      <c r="O123" s="65">
        <f t="shared" ca="1" si="5"/>
        <v>-13</v>
      </c>
      <c r="P123" s="74" t="s">
        <v>381</v>
      </c>
      <c r="Q123" s="64"/>
      <c r="R123" s="65">
        <f t="shared" ca="1" si="6"/>
        <v>-13</v>
      </c>
      <c r="S123" s="65">
        <v>2034</v>
      </c>
      <c r="T123" s="74" t="s">
        <v>1573</v>
      </c>
      <c r="U123" s="65" t="s">
        <v>381</v>
      </c>
    </row>
    <row r="124" spans="8:21" x14ac:dyDescent="0.15">
      <c r="H124" s="65">
        <v>2035</v>
      </c>
      <c r="I124" s="74" t="s">
        <v>1574</v>
      </c>
      <c r="J124" s="65">
        <f t="shared" ca="1" si="8"/>
        <v>-14</v>
      </c>
      <c r="K124" s="74" t="s">
        <v>383</v>
      </c>
      <c r="L124" s="64"/>
      <c r="M124" s="74" t="s">
        <v>1574</v>
      </c>
      <c r="N124" s="65">
        <v>2035</v>
      </c>
      <c r="O124" s="65">
        <f t="shared" ca="1" si="5"/>
        <v>-14</v>
      </c>
      <c r="P124" s="74" t="s">
        <v>383</v>
      </c>
      <c r="Q124" s="64"/>
      <c r="R124" s="65">
        <f t="shared" ca="1" si="6"/>
        <v>-14</v>
      </c>
      <c r="S124" s="65">
        <v>2035</v>
      </c>
      <c r="T124" s="74" t="s">
        <v>1574</v>
      </c>
      <c r="U124" s="65" t="s">
        <v>383</v>
      </c>
    </row>
    <row r="125" spans="8:21" x14ac:dyDescent="0.15">
      <c r="H125" s="65">
        <v>2036</v>
      </c>
      <c r="I125" s="74" t="s">
        <v>1575</v>
      </c>
      <c r="J125" s="65">
        <f t="shared" ca="1" si="8"/>
        <v>-15</v>
      </c>
      <c r="K125" s="74" t="s">
        <v>361</v>
      </c>
      <c r="L125" s="64"/>
      <c r="M125" s="74" t="s">
        <v>1575</v>
      </c>
      <c r="N125" s="65">
        <v>2036</v>
      </c>
      <c r="O125" s="65">
        <f t="shared" ca="1" si="5"/>
        <v>-15</v>
      </c>
      <c r="P125" s="74" t="s">
        <v>361</v>
      </c>
      <c r="Q125" s="64"/>
      <c r="R125" s="65">
        <f t="shared" ca="1" si="6"/>
        <v>-15</v>
      </c>
      <c r="S125" s="65">
        <v>2036</v>
      </c>
      <c r="T125" s="74" t="s">
        <v>1575</v>
      </c>
      <c r="U125" s="65" t="s">
        <v>361</v>
      </c>
    </row>
    <row r="126" spans="8:21" x14ac:dyDescent="0.15">
      <c r="H126" s="65">
        <v>2037</v>
      </c>
      <c r="I126" s="74" t="s">
        <v>1576</v>
      </c>
      <c r="J126" s="65">
        <f t="shared" ca="1" si="8"/>
        <v>-16</v>
      </c>
      <c r="K126" s="74" t="s">
        <v>363</v>
      </c>
      <c r="L126" s="64"/>
      <c r="M126" s="74" t="s">
        <v>1576</v>
      </c>
      <c r="N126" s="65">
        <v>2037</v>
      </c>
      <c r="O126" s="65">
        <f t="shared" ca="1" si="5"/>
        <v>-16</v>
      </c>
      <c r="P126" s="74" t="s">
        <v>363</v>
      </c>
      <c r="Q126" s="64"/>
      <c r="R126" s="65">
        <f t="shared" ca="1" si="6"/>
        <v>-16</v>
      </c>
      <c r="S126" s="65">
        <v>2037</v>
      </c>
      <c r="T126" s="74" t="s">
        <v>1576</v>
      </c>
      <c r="U126" s="65" t="s">
        <v>363</v>
      </c>
    </row>
    <row r="127" spans="8:21" x14ac:dyDescent="0.15">
      <c r="H127" s="65">
        <v>2038</v>
      </c>
      <c r="I127" s="74" t="s">
        <v>1577</v>
      </c>
      <c r="J127" s="65">
        <f t="shared" ca="1" si="8"/>
        <v>-17</v>
      </c>
      <c r="K127" s="74" t="s">
        <v>365</v>
      </c>
      <c r="L127" s="64"/>
      <c r="M127" s="74" t="s">
        <v>1577</v>
      </c>
      <c r="N127" s="65">
        <v>2038</v>
      </c>
      <c r="O127" s="65">
        <f t="shared" ca="1" si="5"/>
        <v>-17</v>
      </c>
      <c r="P127" s="74" t="s">
        <v>365</v>
      </c>
      <c r="Q127" s="64"/>
      <c r="R127" s="65">
        <f t="shared" ca="1" si="6"/>
        <v>-17</v>
      </c>
      <c r="S127" s="65">
        <v>2038</v>
      </c>
      <c r="T127" s="74" t="s">
        <v>1577</v>
      </c>
      <c r="U127" s="65" t="s">
        <v>365</v>
      </c>
    </row>
    <row r="128" spans="8:21" x14ac:dyDescent="0.15">
      <c r="H128" s="65">
        <v>2039</v>
      </c>
      <c r="I128" s="74" t="s">
        <v>1578</v>
      </c>
      <c r="J128" s="65">
        <f t="shared" ca="1" si="8"/>
        <v>-18</v>
      </c>
      <c r="K128" s="74" t="s">
        <v>367</v>
      </c>
      <c r="L128" s="64"/>
      <c r="M128" s="74" t="s">
        <v>1578</v>
      </c>
      <c r="N128" s="65">
        <v>2039</v>
      </c>
      <c r="O128" s="65">
        <f t="shared" ca="1" si="5"/>
        <v>-18</v>
      </c>
      <c r="P128" s="74" t="s">
        <v>367</v>
      </c>
      <c r="Q128" s="64"/>
      <c r="R128" s="65">
        <f t="shared" ca="1" si="6"/>
        <v>-18</v>
      </c>
      <c r="S128" s="65">
        <v>2039</v>
      </c>
      <c r="T128" s="74" t="s">
        <v>1578</v>
      </c>
      <c r="U128" s="65" t="s">
        <v>367</v>
      </c>
    </row>
    <row r="129" spans="8:21" x14ac:dyDescent="0.15">
      <c r="H129" s="65">
        <v>2040</v>
      </c>
      <c r="I129" s="74" t="s">
        <v>1579</v>
      </c>
      <c r="J129" s="65">
        <f t="shared" ca="1" si="8"/>
        <v>-19</v>
      </c>
      <c r="K129" s="74" t="s">
        <v>369</v>
      </c>
      <c r="L129" s="64"/>
      <c r="M129" s="74" t="s">
        <v>1579</v>
      </c>
      <c r="N129" s="65">
        <v>2040</v>
      </c>
      <c r="O129" s="65">
        <f t="shared" ca="1" si="5"/>
        <v>-19</v>
      </c>
      <c r="P129" s="74" t="s">
        <v>369</v>
      </c>
      <c r="Q129" s="64"/>
      <c r="R129" s="65">
        <f t="shared" ca="1" si="6"/>
        <v>-19</v>
      </c>
      <c r="S129" s="65">
        <v>2040</v>
      </c>
      <c r="T129" s="74" t="s">
        <v>1579</v>
      </c>
      <c r="U129" s="65" t="s">
        <v>369</v>
      </c>
    </row>
    <row r="130" spans="8:21" x14ac:dyDescent="0.15">
      <c r="H130" s="65">
        <v>2041</v>
      </c>
      <c r="I130" s="74" t="s">
        <v>1580</v>
      </c>
      <c r="J130" s="65">
        <f t="shared" ca="1" si="8"/>
        <v>-20</v>
      </c>
      <c r="K130" s="74" t="s">
        <v>371</v>
      </c>
      <c r="L130" s="64"/>
      <c r="M130" s="74" t="s">
        <v>1580</v>
      </c>
      <c r="N130" s="65">
        <v>2041</v>
      </c>
      <c r="O130" s="65">
        <f t="shared" ca="1" si="5"/>
        <v>-20</v>
      </c>
      <c r="P130" s="74" t="s">
        <v>371</v>
      </c>
      <c r="Q130" s="64"/>
      <c r="R130" s="65">
        <f t="shared" ca="1" si="6"/>
        <v>-20</v>
      </c>
      <c r="S130" s="65">
        <v>2041</v>
      </c>
      <c r="T130" s="74" t="s">
        <v>1580</v>
      </c>
      <c r="U130" s="65" t="s">
        <v>371</v>
      </c>
    </row>
    <row r="131" spans="8:21" x14ac:dyDescent="0.15">
      <c r="H131" s="65">
        <v>2042</v>
      </c>
      <c r="I131" s="74" t="s">
        <v>1581</v>
      </c>
      <c r="J131" s="65">
        <f t="shared" ca="1" si="8"/>
        <v>-21</v>
      </c>
      <c r="K131" s="74" t="s">
        <v>373</v>
      </c>
      <c r="L131" s="64"/>
      <c r="M131" s="74" t="s">
        <v>1581</v>
      </c>
      <c r="N131" s="65">
        <v>2042</v>
      </c>
      <c r="O131" s="65">
        <f t="shared" ca="1" si="5"/>
        <v>-21</v>
      </c>
      <c r="P131" s="74" t="s">
        <v>373</v>
      </c>
      <c r="Q131" s="64"/>
      <c r="R131" s="65">
        <f t="shared" ca="1" si="6"/>
        <v>-21</v>
      </c>
      <c r="S131" s="65">
        <v>2042</v>
      </c>
      <c r="T131" s="74" t="s">
        <v>1581</v>
      </c>
      <c r="U131" s="65" t="s">
        <v>373</v>
      </c>
    </row>
    <row r="132" spans="8:21" x14ac:dyDescent="0.15">
      <c r="H132" s="65">
        <v>2043</v>
      </c>
      <c r="I132" s="74" t="s">
        <v>1582</v>
      </c>
      <c r="J132" s="65">
        <f t="shared" ca="1" si="8"/>
        <v>-22</v>
      </c>
      <c r="K132" s="74" t="s">
        <v>375</v>
      </c>
      <c r="L132" s="64"/>
      <c r="M132" s="74" t="s">
        <v>1582</v>
      </c>
      <c r="N132" s="65">
        <v>2043</v>
      </c>
      <c r="O132" s="65">
        <f t="shared" ca="1" si="5"/>
        <v>-22</v>
      </c>
      <c r="P132" s="74" t="s">
        <v>375</v>
      </c>
      <c r="Q132" s="64"/>
      <c r="R132" s="65">
        <f t="shared" ca="1" si="6"/>
        <v>-22</v>
      </c>
      <c r="S132" s="65">
        <v>2043</v>
      </c>
      <c r="T132" s="74" t="s">
        <v>1582</v>
      </c>
      <c r="U132" s="65" t="s">
        <v>375</v>
      </c>
    </row>
    <row r="133" spans="8:21" x14ac:dyDescent="0.15">
      <c r="H133" s="65">
        <v>2044</v>
      </c>
      <c r="I133" s="74" t="s">
        <v>1583</v>
      </c>
      <c r="J133" s="65">
        <f t="shared" ca="1" si="8"/>
        <v>-23</v>
      </c>
      <c r="K133" s="74" t="s">
        <v>377</v>
      </c>
      <c r="L133" s="64"/>
      <c r="M133" s="74" t="s">
        <v>1583</v>
      </c>
      <c r="N133" s="65">
        <v>2044</v>
      </c>
      <c r="O133" s="65">
        <f t="shared" ca="1" si="5"/>
        <v>-23</v>
      </c>
      <c r="P133" s="74" t="s">
        <v>377</v>
      </c>
      <c r="Q133" s="64"/>
      <c r="R133" s="65">
        <f t="shared" ca="1" si="6"/>
        <v>-23</v>
      </c>
      <c r="S133" s="65">
        <v>2044</v>
      </c>
      <c r="T133" s="74" t="s">
        <v>1583</v>
      </c>
    </row>
    <row r="134" spans="8:21" x14ac:dyDescent="0.15">
      <c r="H134" s="65">
        <v>2045</v>
      </c>
      <c r="I134" s="74" t="s">
        <v>1584</v>
      </c>
      <c r="J134" s="65">
        <f t="shared" ca="1" si="8"/>
        <v>-24</v>
      </c>
      <c r="K134" s="74" t="s">
        <v>379</v>
      </c>
      <c r="L134" s="64"/>
      <c r="M134" s="74" t="s">
        <v>1584</v>
      </c>
      <c r="N134" s="65">
        <v>2045</v>
      </c>
      <c r="O134" s="65">
        <f t="shared" ref="O134:O144" ca="1" si="9">O133-1</f>
        <v>-24</v>
      </c>
      <c r="P134" s="74" t="s">
        <v>379</v>
      </c>
      <c r="Q134" s="64"/>
      <c r="R134" s="65">
        <f t="shared" ref="R134:R144" ca="1" si="10">R133-1</f>
        <v>-24</v>
      </c>
      <c r="S134" s="65">
        <v>2045</v>
      </c>
      <c r="T134" s="74" t="s">
        <v>1584</v>
      </c>
    </row>
    <row r="135" spans="8:21" x14ac:dyDescent="0.15">
      <c r="H135" s="65">
        <v>2046</v>
      </c>
      <c r="I135" s="74" t="s">
        <v>1585</v>
      </c>
      <c r="J135" s="65">
        <f t="shared" ca="1" si="8"/>
        <v>-25</v>
      </c>
      <c r="K135" s="74" t="s">
        <v>381</v>
      </c>
      <c r="L135" s="64"/>
      <c r="M135" s="74" t="s">
        <v>1585</v>
      </c>
      <c r="N135" s="65">
        <v>2046</v>
      </c>
      <c r="O135" s="65">
        <f t="shared" ca="1" si="9"/>
        <v>-25</v>
      </c>
      <c r="P135" s="74" t="s">
        <v>381</v>
      </c>
      <c r="Q135" s="64"/>
      <c r="R135" s="65">
        <f t="shared" ca="1" si="10"/>
        <v>-25</v>
      </c>
      <c r="S135" s="65">
        <v>2046</v>
      </c>
      <c r="T135" s="74" t="s">
        <v>1585</v>
      </c>
    </row>
    <row r="136" spans="8:21" x14ac:dyDescent="0.15">
      <c r="H136" s="65">
        <v>2047</v>
      </c>
      <c r="I136" s="74" t="s">
        <v>1586</v>
      </c>
      <c r="J136" s="65">
        <f t="shared" ca="1" si="8"/>
        <v>-26</v>
      </c>
      <c r="K136" s="74" t="s">
        <v>383</v>
      </c>
      <c r="L136" s="64"/>
      <c r="M136" s="74" t="s">
        <v>1586</v>
      </c>
      <c r="N136" s="65">
        <v>2047</v>
      </c>
      <c r="O136" s="65">
        <f t="shared" ca="1" si="9"/>
        <v>-26</v>
      </c>
      <c r="P136" s="74" t="s">
        <v>383</v>
      </c>
      <c r="Q136" s="64"/>
      <c r="R136" s="65">
        <f t="shared" ca="1" si="10"/>
        <v>-26</v>
      </c>
      <c r="S136" s="65">
        <v>2047</v>
      </c>
      <c r="T136" s="74" t="s">
        <v>1586</v>
      </c>
    </row>
    <row r="137" spans="8:21" x14ac:dyDescent="0.15">
      <c r="H137" s="65">
        <v>2048</v>
      </c>
      <c r="I137" s="74" t="s">
        <v>1587</v>
      </c>
      <c r="J137" s="65">
        <f t="shared" ca="1" si="8"/>
        <v>-27</v>
      </c>
      <c r="K137" s="74" t="s">
        <v>361</v>
      </c>
      <c r="L137" s="64"/>
      <c r="M137" s="74" t="s">
        <v>1587</v>
      </c>
      <c r="N137" s="65">
        <v>2048</v>
      </c>
      <c r="O137" s="65">
        <f t="shared" ca="1" si="9"/>
        <v>-27</v>
      </c>
      <c r="P137" s="74" t="s">
        <v>361</v>
      </c>
      <c r="Q137" s="64"/>
      <c r="R137" s="65">
        <f t="shared" ca="1" si="10"/>
        <v>-27</v>
      </c>
      <c r="S137" s="65">
        <v>2048</v>
      </c>
      <c r="T137" s="74" t="s">
        <v>1587</v>
      </c>
    </row>
    <row r="138" spans="8:21" x14ac:dyDescent="0.15">
      <c r="H138" s="65">
        <v>2049</v>
      </c>
      <c r="I138" s="74" t="s">
        <v>1588</v>
      </c>
      <c r="J138" s="65">
        <f t="shared" ca="1" si="8"/>
        <v>-28</v>
      </c>
      <c r="K138" s="74" t="s">
        <v>363</v>
      </c>
      <c r="L138" s="64"/>
      <c r="M138" s="74" t="s">
        <v>1588</v>
      </c>
      <c r="N138" s="65">
        <v>2049</v>
      </c>
      <c r="O138" s="65">
        <f t="shared" ca="1" si="9"/>
        <v>-28</v>
      </c>
      <c r="P138" s="74" t="s">
        <v>363</v>
      </c>
      <c r="Q138" s="64"/>
      <c r="R138" s="65">
        <f t="shared" ca="1" si="10"/>
        <v>-28</v>
      </c>
      <c r="S138" s="65">
        <v>2049</v>
      </c>
      <c r="T138" s="74" t="s">
        <v>1588</v>
      </c>
    </row>
    <row r="139" spans="8:21" x14ac:dyDescent="0.15">
      <c r="H139" s="65">
        <v>2050</v>
      </c>
      <c r="I139" s="74" t="s">
        <v>1589</v>
      </c>
      <c r="J139" s="65">
        <f t="shared" ca="1" si="8"/>
        <v>-29</v>
      </c>
      <c r="K139" s="74" t="s">
        <v>365</v>
      </c>
      <c r="L139" s="64"/>
      <c r="M139" s="74" t="s">
        <v>1589</v>
      </c>
      <c r="N139" s="65">
        <v>2050</v>
      </c>
      <c r="O139" s="65">
        <f t="shared" ca="1" si="9"/>
        <v>-29</v>
      </c>
      <c r="P139" s="74" t="s">
        <v>365</v>
      </c>
      <c r="Q139" s="64"/>
      <c r="R139" s="65">
        <f t="shared" ca="1" si="10"/>
        <v>-29</v>
      </c>
      <c r="S139" s="65">
        <v>2050</v>
      </c>
      <c r="T139" s="74" t="s">
        <v>1589</v>
      </c>
    </row>
    <row r="140" spans="8:21" x14ac:dyDescent="0.15">
      <c r="H140" s="65">
        <v>2051</v>
      </c>
      <c r="I140" s="74" t="s">
        <v>1590</v>
      </c>
      <c r="J140" s="65">
        <f t="shared" ca="1" si="8"/>
        <v>-30</v>
      </c>
      <c r="K140" s="74" t="s">
        <v>367</v>
      </c>
      <c r="L140" s="64"/>
      <c r="M140" s="74" t="s">
        <v>1590</v>
      </c>
      <c r="N140" s="65">
        <v>2051</v>
      </c>
      <c r="O140" s="65">
        <f t="shared" ca="1" si="9"/>
        <v>-30</v>
      </c>
      <c r="P140" s="74" t="s">
        <v>367</v>
      </c>
      <c r="Q140" s="64"/>
      <c r="R140" s="65">
        <f t="shared" ca="1" si="10"/>
        <v>-30</v>
      </c>
      <c r="S140" s="65">
        <v>2051</v>
      </c>
      <c r="T140" s="74" t="s">
        <v>1590</v>
      </c>
    </row>
    <row r="141" spans="8:21" x14ac:dyDescent="0.15">
      <c r="H141" s="65">
        <v>2052</v>
      </c>
      <c r="I141" s="74" t="s">
        <v>1591</v>
      </c>
      <c r="J141" s="65">
        <f t="shared" ca="1" si="8"/>
        <v>-31</v>
      </c>
      <c r="K141" s="74" t="s">
        <v>369</v>
      </c>
      <c r="L141" s="64"/>
      <c r="M141" s="74" t="s">
        <v>1591</v>
      </c>
      <c r="N141" s="65">
        <v>2052</v>
      </c>
      <c r="O141" s="65">
        <f t="shared" ca="1" si="9"/>
        <v>-31</v>
      </c>
      <c r="P141" s="74" t="s">
        <v>369</v>
      </c>
      <c r="Q141" s="64"/>
      <c r="R141" s="65">
        <f t="shared" ca="1" si="10"/>
        <v>-31</v>
      </c>
      <c r="S141" s="65">
        <v>2052</v>
      </c>
      <c r="T141" s="74" t="s">
        <v>1591</v>
      </c>
    </row>
    <row r="142" spans="8:21" x14ac:dyDescent="0.15">
      <c r="H142" s="65">
        <v>2053</v>
      </c>
      <c r="I142" s="74" t="s">
        <v>1592</v>
      </c>
      <c r="J142" s="65">
        <f t="shared" ca="1" si="8"/>
        <v>-32</v>
      </c>
      <c r="K142" s="74" t="s">
        <v>371</v>
      </c>
      <c r="L142" s="64"/>
      <c r="M142" s="74" t="s">
        <v>1592</v>
      </c>
      <c r="N142" s="65">
        <v>2053</v>
      </c>
      <c r="O142" s="65">
        <f t="shared" ca="1" si="9"/>
        <v>-32</v>
      </c>
      <c r="P142" s="74" t="s">
        <v>371</v>
      </c>
      <c r="Q142" s="64"/>
      <c r="R142" s="65">
        <f t="shared" ca="1" si="10"/>
        <v>-32</v>
      </c>
      <c r="S142" s="65">
        <v>2053</v>
      </c>
      <c r="T142" s="74" t="s">
        <v>1592</v>
      </c>
    </row>
    <row r="143" spans="8:21" x14ac:dyDescent="0.15">
      <c r="H143" s="65">
        <v>2054</v>
      </c>
      <c r="I143" s="74" t="s">
        <v>1593</v>
      </c>
      <c r="J143" s="65">
        <f t="shared" ca="1" si="8"/>
        <v>-33</v>
      </c>
      <c r="K143" s="74" t="s">
        <v>373</v>
      </c>
      <c r="L143" s="64"/>
      <c r="M143" s="74" t="s">
        <v>1593</v>
      </c>
      <c r="N143" s="65">
        <v>2054</v>
      </c>
      <c r="O143" s="65">
        <f t="shared" ca="1" si="9"/>
        <v>-33</v>
      </c>
      <c r="P143" s="74" t="s">
        <v>373</v>
      </c>
      <c r="Q143" s="64"/>
      <c r="R143" s="65">
        <f t="shared" ca="1" si="10"/>
        <v>-33</v>
      </c>
      <c r="S143" s="65">
        <v>2054</v>
      </c>
      <c r="T143" s="74" t="s">
        <v>1593</v>
      </c>
    </row>
    <row r="144" spans="8:21" x14ac:dyDescent="0.15">
      <c r="H144" s="65">
        <v>2055</v>
      </c>
      <c r="I144" s="74" t="s">
        <v>1594</v>
      </c>
      <c r="J144" s="65">
        <f t="shared" ca="1" si="8"/>
        <v>-34</v>
      </c>
      <c r="K144" s="74" t="s">
        <v>375</v>
      </c>
      <c r="L144" s="64"/>
      <c r="M144" s="74" t="s">
        <v>1594</v>
      </c>
      <c r="N144" s="65">
        <v>2055</v>
      </c>
      <c r="O144" s="65">
        <f t="shared" ca="1" si="9"/>
        <v>-34</v>
      </c>
      <c r="P144" s="74" t="s">
        <v>375</v>
      </c>
      <c r="Q144" s="64"/>
      <c r="R144" s="65">
        <f t="shared" ca="1" si="10"/>
        <v>-34</v>
      </c>
      <c r="S144" s="65">
        <v>2055</v>
      </c>
      <c r="T144" s="74" t="s">
        <v>1594</v>
      </c>
    </row>
  </sheetData>
  <mergeCells count="1">
    <mergeCell ref="C3:E3"/>
  </mergeCells>
  <phoneticPr fontId="1"/>
  <dataValidations count="3">
    <dataValidation type="list" allowBlank="1" showInputMessage="1" showErrorMessage="1" sqref="B5">
      <formula1>$H$5:$H$144</formula1>
    </dataValidation>
    <dataValidation type="list" allowBlank="1" showInputMessage="1" showErrorMessage="1" sqref="B9">
      <formula1>$M$5:$M$144</formula1>
    </dataValidation>
    <dataValidation type="list" allowBlank="1" showInputMessage="1" showErrorMessage="1" sqref="B13">
      <formula1>$R$5:$R$144</formula1>
    </dataValidation>
  </dataValidations>
  <pageMargins left="0.7" right="0.7" top="0.75" bottom="0.75" header="0.3" footer="0.3"/>
  <pageSetup paperSize="9" orientation="portrait" horizontalDpi="4294967292" verticalDpi="4294967292"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5"/>
  <sheetViews>
    <sheetView tabSelected="1" workbookViewId="0">
      <selection activeCell="N1" sqref="N1"/>
    </sheetView>
  </sheetViews>
  <sheetFormatPr defaultRowHeight="13.5" outlineLevelRow="1" x14ac:dyDescent="0.15"/>
  <cols>
    <col min="1" max="1" width="2.25" customWidth="1"/>
    <col min="2" max="2" width="7.125" customWidth="1"/>
    <col min="3" max="3" width="17.5" customWidth="1"/>
    <col min="4" max="7" width="2.625" customWidth="1"/>
    <col min="8" max="8" width="10.875" customWidth="1"/>
    <col min="9" max="9" width="5.75" customWidth="1"/>
    <col min="10" max="10" width="13.375" customWidth="1"/>
    <col min="11" max="11" width="4.875" customWidth="1"/>
    <col min="12" max="12" width="13.5" customWidth="1"/>
    <col min="14" max="14" width="12.25" customWidth="1"/>
  </cols>
  <sheetData>
    <row r="1" spans="2:14" x14ac:dyDescent="0.15">
      <c r="N1" s="222" t="s">
        <v>1652</v>
      </c>
    </row>
    <row r="2" spans="2:14" ht="15" customHeight="1" x14ac:dyDescent="0.15">
      <c r="B2" s="143" t="s">
        <v>1595</v>
      </c>
      <c r="C2" s="220" t="s">
        <v>1596</v>
      </c>
    </row>
    <row r="3" spans="2:14" ht="15" customHeight="1" x14ac:dyDescent="0.15">
      <c r="B3" s="221" t="s">
        <v>1648</v>
      </c>
      <c r="C3" s="143"/>
    </row>
    <row r="4" spans="2:14" ht="15" customHeight="1" x14ac:dyDescent="0.15">
      <c r="B4" s="143" t="s">
        <v>1597</v>
      </c>
      <c r="C4" s="220" t="s">
        <v>1598</v>
      </c>
    </row>
    <row r="5" spans="2:14" ht="15" customHeight="1" x14ac:dyDescent="0.15">
      <c r="B5" s="143" t="s">
        <v>1599</v>
      </c>
      <c r="C5" s="220" t="s">
        <v>1600</v>
      </c>
    </row>
    <row r="6" spans="2:14" ht="15" customHeight="1" x14ac:dyDescent="0.15">
      <c r="B6" s="143" t="s">
        <v>1601</v>
      </c>
      <c r="C6" s="220" t="s">
        <v>1602</v>
      </c>
      <c r="I6" t="s">
        <v>1603</v>
      </c>
    </row>
    <row r="7" spans="2:14" ht="15" customHeight="1" x14ac:dyDescent="0.15">
      <c r="B7" s="143" t="s">
        <v>1604</v>
      </c>
      <c r="C7" s="220" t="s">
        <v>1605</v>
      </c>
    </row>
    <row r="8" spans="2:14" ht="15" customHeight="1" thickBot="1" x14ac:dyDescent="0.2">
      <c r="B8" s="143" t="s">
        <v>1606</v>
      </c>
      <c r="C8" s="220" t="s">
        <v>1607</v>
      </c>
      <c r="H8" t="s">
        <v>1608</v>
      </c>
      <c r="I8" s="74" t="s">
        <v>1609</v>
      </c>
      <c r="J8" t="s">
        <v>1610</v>
      </c>
      <c r="L8" t="s">
        <v>1611</v>
      </c>
    </row>
    <row r="9" spans="2:14" ht="15" customHeight="1" thickBot="1" x14ac:dyDescent="0.2">
      <c r="B9" s="143" t="s">
        <v>1612</v>
      </c>
      <c r="C9" s="220" t="s">
        <v>1613</v>
      </c>
      <c r="H9" s="142">
        <v>300</v>
      </c>
      <c r="I9" s="63">
        <f>IF(H9="","",VLOOKUP(H9,H28:I35,2,FALSE))</f>
        <v>11.81</v>
      </c>
      <c r="J9" s="9">
        <v>1</v>
      </c>
      <c r="L9" s="10">
        <f>SUM(I9*J9)</f>
        <v>11.81</v>
      </c>
    </row>
    <row r="10" spans="2:14" ht="15" customHeight="1" x14ac:dyDescent="0.15">
      <c r="B10" s="143" t="s">
        <v>1614</v>
      </c>
      <c r="C10" s="220" t="s">
        <v>1615</v>
      </c>
      <c r="I10" s="63"/>
    </row>
    <row r="11" spans="2:14" ht="15" customHeight="1" x14ac:dyDescent="0.15">
      <c r="B11" s="143" t="s">
        <v>1616</v>
      </c>
      <c r="C11" s="220" t="s">
        <v>1617</v>
      </c>
      <c r="I11" s="63"/>
    </row>
    <row r="12" spans="2:14" ht="15" customHeight="1" thickBot="1" x14ac:dyDescent="0.2">
      <c r="B12" s="143" t="s">
        <v>1618</v>
      </c>
      <c r="C12" s="220" t="s">
        <v>1619</v>
      </c>
      <c r="H12" t="s">
        <v>1608</v>
      </c>
      <c r="I12" s="63"/>
      <c r="J12" t="s">
        <v>1620</v>
      </c>
      <c r="L12" t="s">
        <v>1621</v>
      </c>
    </row>
    <row r="13" spans="2:14" ht="15" customHeight="1" thickBot="1" x14ac:dyDescent="0.2">
      <c r="B13" s="143" t="s">
        <v>1622</v>
      </c>
      <c r="C13" s="220" t="s">
        <v>1623</v>
      </c>
      <c r="H13" s="142">
        <v>300</v>
      </c>
      <c r="I13" s="63">
        <f>IF(H13="","",VLOOKUP(H13,H37:I44,2,FALSE))</f>
        <v>8.4673999999999999E-2</v>
      </c>
      <c r="J13" s="9">
        <v>11.81</v>
      </c>
      <c r="L13" s="10">
        <f>SUM(I13*J13)</f>
        <v>0.99999994000000003</v>
      </c>
    </row>
    <row r="14" spans="2:14" ht="15" customHeight="1" x14ac:dyDescent="0.15">
      <c r="B14" s="143" t="s">
        <v>1624</v>
      </c>
      <c r="C14" s="220" t="s">
        <v>1625</v>
      </c>
    </row>
    <row r="15" spans="2:14" ht="15" customHeight="1" x14ac:dyDescent="0.15">
      <c r="B15" s="143" t="s">
        <v>1626</v>
      </c>
      <c r="C15" s="220" t="s">
        <v>1627</v>
      </c>
    </row>
    <row r="16" spans="2:14" ht="15" customHeight="1" x14ac:dyDescent="0.15">
      <c r="B16" s="143" t="s">
        <v>1628</v>
      </c>
      <c r="C16" s="220" t="s">
        <v>1629</v>
      </c>
    </row>
    <row r="17" spans="2:9" ht="15" customHeight="1" x14ac:dyDescent="0.15">
      <c r="B17" s="143" t="s">
        <v>1630</v>
      </c>
      <c r="C17" s="220" t="s">
        <v>1631</v>
      </c>
    </row>
    <row r="18" spans="2:9" ht="15" customHeight="1" x14ac:dyDescent="0.15">
      <c r="B18" s="143" t="s">
        <v>1632</v>
      </c>
      <c r="C18" s="220" t="s">
        <v>1633</v>
      </c>
    </row>
    <row r="19" spans="2:9" ht="15" customHeight="1" x14ac:dyDescent="0.15">
      <c r="B19" s="143" t="s">
        <v>1634</v>
      </c>
      <c r="C19" s="220" t="s">
        <v>1635</v>
      </c>
    </row>
    <row r="20" spans="2:9" ht="15" customHeight="1" x14ac:dyDescent="0.15">
      <c r="B20" s="143" t="s">
        <v>1636</v>
      </c>
      <c r="C20" s="220" t="s">
        <v>1637</v>
      </c>
    </row>
    <row r="21" spans="2:9" ht="15" customHeight="1" x14ac:dyDescent="0.15">
      <c r="B21" s="143" t="s">
        <v>1638</v>
      </c>
      <c r="C21" s="220" t="s">
        <v>1639</v>
      </c>
    </row>
    <row r="22" spans="2:9" ht="15" customHeight="1" x14ac:dyDescent="0.15">
      <c r="B22" s="143" t="s">
        <v>1640</v>
      </c>
      <c r="C22" s="220" t="s">
        <v>1641</v>
      </c>
    </row>
    <row r="23" spans="2:9" ht="15" customHeight="1" x14ac:dyDescent="0.15">
      <c r="B23" s="143" t="s">
        <v>1642</v>
      </c>
      <c r="C23" s="220" t="s">
        <v>1643</v>
      </c>
    </row>
    <row r="24" spans="2:9" ht="15" customHeight="1" x14ac:dyDescent="0.15">
      <c r="B24" s="143" t="s">
        <v>1644</v>
      </c>
      <c r="C24" s="220" t="s">
        <v>1645</v>
      </c>
    </row>
    <row r="25" spans="2:9" ht="15" customHeight="1" x14ac:dyDescent="0.15">
      <c r="B25" s="143" t="s">
        <v>1646</v>
      </c>
      <c r="C25" s="220" t="s">
        <v>1647</v>
      </c>
    </row>
    <row r="28" spans="2:9" hidden="1" outlineLevel="1" x14ac:dyDescent="0.15">
      <c r="H28">
        <v>200</v>
      </c>
      <c r="I28">
        <v>7.8739999999999997</v>
      </c>
    </row>
    <row r="29" spans="2:9" hidden="1" outlineLevel="1" x14ac:dyDescent="0.15">
      <c r="H29">
        <v>300</v>
      </c>
      <c r="I29">
        <v>11.81</v>
      </c>
    </row>
    <row r="30" spans="2:9" hidden="1" outlineLevel="1" x14ac:dyDescent="0.15">
      <c r="H30">
        <v>350</v>
      </c>
      <c r="I30">
        <v>13.779</v>
      </c>
    </row>
    <row r="31" spans="2:9" hidden="1" outlineLevel="1" x14ac:dyDescent="0.15">
      <c r="H31">
        <v>400</v>
      </c>
      <c r="I31">
        <v>15.747999999999999</v>
      </c>
    </row>
    <row r="32" spans="2:9" hidden="1" outlineLevel="1" x14ac:dyDescent="0.15">
      <c r="H32">
        <v>450</v>
      </c>
      <c r="I32">
        <v>17.716000000000001</v>
      </c>
    </row>
    <row r="33" spans="8:9" hidden="1" outlineLevel="1" x14ac:dyDescent="0.15">
      <c r="H33">
        <v>500</v>
      </c>
      <c r="I33">
        <v>19.684999999999999</v>
      </c>
    </row>
    <row r="34" spans="8:9" hidden="1" outlineLevel="1" x14ac:dyDescent="0.15">
      <c r="H34">
        <v>550</v>
      </c>
      <c r="I34">
        <v>21.652999999999999</v>
      </c>
    </row>
    <row r="35" spans="8:9" hidden="1" outlineLevel="1" x14ac:dyDescent="0.15">
      <c r="H35">
        <v>600</v>
      </c>
      <c r="I35">
        <v>23.622</v>
      </c>
    </row>
    <row r="36" spans="8:9" hidden="1" outlineLevel="1" x14ac:dyDescent="0.15"/>
    <row r="37" spans="8:9" hidden="1" outlineLevel="1" x14ac:dyDescent="0.15">
      <c r="H37">
        <v>200</v>
      </c>
      <c r="I37">
        <v>0.127</v>
      </c>
    </row>
    <row r="38" spans="8:9" hidden="1" outlineLevel="1" x14ac:dyDescent="0.15">
      <c r="H38">
        <v>300</v>
      </c>
      <c r="I38">
        <v>8.4673999999999999E-2</v>
      </c>
    </row>
    <row r="39" spans="8:9" hidden="1" outlineLevel="1" x14ac:dyDescent="0.15">
      <c r="H39">
        <v>350</v>
      </c>
      <c r="I39">
        <v>7.2574200000000005E-2</v>
      </c>
    </row>
    <row r="40" spans="8:9" hidden="1" outlineLevel="1" x14ac:dyDescent="0.15">
      <c r="H40">
        <v>400</v>
      </c>
      <c r="I40">
        <v>6.3500000000000001E-2</v>
      </c>
    </row>
    <row r="41" spans="8:9" hidden="1" outlineLevel="1" x14ac:dyDescent="0.15">
      <c r="H41">
        <v>450</v>
      </c>
      <c r="I41">
        <v>5.6446099999999999E-2</v>
      </c>
    </row>
    <row r="42" spans="8:9" hidden="1" outlineLevel="1" x14ac:dyDescent="0.15">
      <c r="H42">
        <v>500</v>
      </c>
      <c r="I42">
        <v>5.0800100000000001E-2</v>
      </c>
    </row>
    <row r="43" spans="8:9" hidden="1" outlineLevel="1" x14ac:dyDescent="0.15">
      <c r="H43">
        <v>550</v>
      </c>
      <c r="I43">
        <v>4.6182899999999999E-2</v>
      </c>
    </row>
    <row r="44" spans="8:9" hidden="1" outlineLevel="1" x14ac:dyDescent="0.15">
      <c r="H44">
        <v>600</v>
      </c>
      <c r="I44">
        <v>4.23334E-2</v>
      </c>
    </row>
    <row r="45" spans="8:9" collapsed="1" x14ac:dyDescent="0.15"/>
  </sheetData>
  <phoneticPr fontId="1"/>
  <dataValidations count="2">
    <dataValidation type="list" allowBlank="1" showInputMessage="1" showErrorMessage="1" sqref="H9">
      <formula1>$H$28:$H$35</formula1>
    </dataValidation>
    <dataValidation type="list" allowBlank="1" showInputMessage="1" showErrorMessage="1" sqref="H13">
      <formula1>$H$37:$H$44</formula1>
    </dataValidation>
  </dataValidations>
  <pageMargins left="0.7" right="0.7" top="0.75" bottom="0.75" header="0.3" footer="0.3"/>
  <pageSetup paperSize="9" orientation="portrait" horizontalDpi="0"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05"/>
  <sheetViews>
    <sheetView workbookViewId="0">
      <selection activeCell="I1" sqref="I1"/>
    </sheetView>
  </sheetViews>
  <sheetFormatPr defaultRowHeight="13.5" outlineLevelCol="1" x14ac:dyDescent="0.15"/>
  <cols>
    <col min="2" max="2" width="14.625" customWidth="1"/>
    <col min="4" max="4" width="14.625" customWidth="1"/>
    <col min="5" max="5" width="3.625" customWidth="1"/>
    <col min="6" max="6" width="14.625" customWidth="1"/>
    <col min="7" max="7" width="3.625" customWidth="1"/>
    <col min="8" max="8" width="14.625" customWidth="1"/>
    <col min="9" max="9" width="10.75" customWidth="1"/>
    <col min="16" max="20" width="9" hidden="1" customWidth="1" outlineLevel="1"/>
    <col min="21" max="21" width="9" collapsed="1"/>
  </cols>
  <sheetData>
    <row r="1" spans="1:20" ht="17.25" x14ac:dyDescent="0.15">
      <c r="A1" s="6"/>
      <c r="B1" s="235"/>
      <c r="C1" s="235"/>
      <c r="D1" s="6"/>
      <c r="E1" s="6"/>
      <c r="F1" s="6"/>
      <c r="G1" s="6"/>
      <c r="H1" s="6"/>
      <c r="I1" s="222" t="s">
        <v>1649</v>
      </c>
    </row>
    <row r="2" spans="1:20" ht="17.25" x14ac:dyDescent="0.15">
      <c r="A2" s="6"/>
      <c r="B2" s="236" t="s">
        <v>1436</v>
      </c>
      <c r="C2" s="237"/>
      <c r="D2" s="237"/>
      <c r="E2" s="237"/>
      <c r="F2" s="237"/>
      <c r="G2" s="237"/>
      <c r="H2" s="237"/>
      <c r="I2" s="238"/>
    </row>
    <row r="3" spans="1:20" x14ac:dyDescent="0.15">
      <c r="A3" s="6"/>
      <c r="B3" s="81"/>
      <c r="C3" s="6"/>
      <c r="D3" s="6"/>
      <c r="E3" s="6"/>
      <c r="F3" s="6"/>
      <c r="G3" s="6"/>
      <c r="H3" s="6"/>
      <c r="I3" s="83"/>
    </row>
    <row r="4" spans="1:20" x14ac:dyDescent="0.15">
      <c r="A4" s="6"/>
      <c r="B4" s="81"/>
      <c r="C4" s="6"/>
      <c r="D4" s="175" t="s">
        <v>324</v>
      </c>
      <c r="E4" s="6"/>
      <c r="F4" s="175" t="s">
        <v>7</v>
      </c>
      <c r="G4" s="6"/>
      <c r="H4" s="6"/>
      <c r="I4" s="83"/>
    </row>
    <row r="5" spans="1:20" x14ac:dyDescent="0.15">
      <c r="A5" s="6"/>
      <c r="B5" s="81"/>
      <c r="C5" s="6"/>
      <c r="D5" s="5" t="s">
        <v>1345</v>
      </c>
      <c r="E5" s="6"/>
      <c r="F5" s="5" t="s">
        <v>1346</v>
      </c>
      <c r="G5" s="6"/>
      <c r="H5" s="6"/>
      <c r="I5" s="83"/>
    </row>
    <row r="6" spans="1:20" x14ac:dyDescent="0.15">
      <c r="A6" s="6"/>
      <c r="B6" s="81"/>
      <c r="C6" s="6"/>
      <c r="D6" s="6"/>
      <c r="E6" s="6"/>
      <c r="F6" s="6"/>
      <c r="G6" s="6"/>
      <c r="H6" s="6"/>
      <c r="I6" s="83"/>
    </row>
    <row r="7" spans="1:20" x14ac:dyDescent="0.15">
      <c r="A7" s="6"/>
      <c r="B7" s="81"/>
      <c r="C7" s="6"/>
      <c r="D7" s="158">
        <v>181.059</v>
      </c>
      <c r="E7" s="6"/>
      <c r="F7" s="184">
        <f>SUM(D7*P7)</f>
        <v>5.8699508858999998</v>
      </c>
      <c r="G7" s="6"/>
      <c r="H7" s="6"/>
      <c r="I7" s="83"/>
      <c r="P7" s="293">
        <v>3.24201E-2</v>
      </c>
      <c r="Q7" s="293"/>
      <c r="R7" s="293"/>
      <c r="S7" s="293"/>
      <c r="T7" s="293"/>
    </row>
    <row r="8" spans="1:20" x14ac:dyDescent="0.15">
      <c r="A8" s="6"/>
      <c r="B8" s="81"/>
      <c r="C8" s="6"/>
      <c r="D8" s="6"/>
      <c r="E8" s="6"/>
      <c r="F8" s="6"/>
      <c r="G8" s="6"/>
      <c r="H8" s="6"/>
      <c r="I8" s="83"/>
      <c r="P8" s="293"/>
      <c r="Q8" s="293"/>
      <c r="R8" s="293"/>
      <c r="S8" s="293"/>
      <c r="T8" s="293"/>
    </row>
    <row r="9" spans="1:20" x14ac:dyDescent="0.15">
      <c r="A9" s="6"/>
      <c r="B9" s="81"/>
      <c r="C9" s="6"/>
      <c r="D9" s="6" t="s">
        <v>1347</v>
      </c>
      <c r="E9" s="6"/>
      <c r="F9" s="5" t="s">
        <v>1346</v>
      </c>
      <c r="G9" s="6"/>
      <c r="H9" s="6"/>
      <c r="I9" s="83"/>
      <c r="P9" s="293"/>
      <c r="Q9" s="293"/>
      <c r="R9" s="293"/>
      <c r="S9" s="293"/>
      <c r="T9" s="293"/>
    </row>
    <row r="10" spans="1:20" x14ac:dyDescent="0.15">
      <c r="A10" s="6"/>
      <c r="B10" s="81"/>
      <c r="C10" s="6"/>
      <c r="D10" s="6"/>
      <c r="E10" s="6"/>
      <c r="F10" s="6"/>
      <c r="G10" s="6"/>
      <c r="H10" s="6"/>
      <c r="I10" s="83"/>
      <c r="P10" s="293"/>
      <c r="Q10" s="293"/>
      <c r="R10" s="293"/>
      <c r="S10" s="293"/>
      <c r="T10" s="293"/>
    </row>
    <row r="11" spans="1:20" x14ac:dyDescent="0.15">
      <c r="A11" s="6"/>
      <c r="B11" s="81"/>
      <c r="C11" s="6"/>
      <c r="D11" s="158">
        <v>132.39599999999999</v>
      </c>
      <c r="E11" s="6"/>
      <c r="F11" s="185">
        <f>SUM(D11*P11)</f>
        <v>5.6228581199999992</v>
      </c>
      <c r="G11" s="6"/>
      <c r="H11" s="6"/>
      <c r="I11" s="83"/>
      <c r="P11" s="293">
        <v>4.2470000000000001E-2</v>
      </c>
      <c r="Q11" s="293"/>
      <c r="R11" s="293"/>
      <c r="S11" s="293"/>
      <c r="T11" s="293"/>
    </row>
    <row r="12" spans="1:20" x14ac:dyDescent="0.15">
      <c r="A12" s="6"/>
      <c r="B12" s="81"/>
      <c r="C12" s="6"/>
      <c r="D12" s="6"/>
      <c r="E12" s="6"/>
      <c r="F12" s="6"/>
      <c r="G12" s="6"/>
      <c r="H12" s="6"/>
      <c r="I12" s="83"/>
      <c r="P12" s="293"/>
      <c r="Q12" s="293"/>
      <c r="R12" s="293"/>
      <c r="S12" s="293"/>
      <c r="T12" s="293"/>
    </row>
    <row r="13" spans="1:20" x14ac:dyDescent="0.15">
      <c r="A13" s="6"/>
      <c r="B13" s="81"/>
      <c r="C13" s="6"/>
      <c r="D13" s="5" t="s">
        <v>1348</v>
      </c>
      <c r="E13" s="6"/>
      <c r="F13" s="5" t="s">
        <v>1349</v>
      </c>
      <c r="G13" s="6"/>
      <c r="H13" s="6"/>
      <c r="I13" s="83"/>
      <c r="P13" s="293"/>
      <c r="Q13" s="293"/>
      <c r="R13" s="293"/>
      <c r="S13" s="293"/>
      <c r="T13" s="293"/>
    </row>
    <row r="14" spans="1:20" x14ac:dyDescent="0.15">
      <c r="A14" s="6"/>
      <c r="B14" s="81"/>
      <c r="C14" s="6"/>
      <c r="D14" s="6"/>
      <c r="E14" s="6"/>
      <c r="F14" s="6"/>
      <c r="G14" s="6"/>
      <c r="H14" s="6"/>
      <c r="I14" s="83"/>
      <c r="P14" s="293"/>
      <c r="Q14" s="293"/>
      <c r="R14" s="293"/>
      <c r="S14" s="293"/>
      <c r="T14" s="293"/>
    </row>
    <row r="15" spans="1:20" x14ac:dyDescent="0.15">
      <c r="A15" s="6"/>
      <c r="B15" s="81"/>
      <c r="C15" s="6"/>
      <c r="D15" s="158">
        <v>1</v>
      </c>
      <c r="E15" s="6"/>
      <c r="F15" s="184">
        <f>SUM(D15*P15)</f>
        <v>30.844999999999999</v>
      </c>
      <c r="G15" s="6"/>
      <c r="H15" s="6"/>
      <c r="I15" s="83"/>
      <c r="P15" s="293">
        <v>30.844999999999999</v>
      </c>
      <c r="Q15" s="293"/>
      <c r="R15" s="293"/>
      <c r="S15" s="293"/>
      <c r="T15" s="293"/>
    </row>
    <row r="16" spans="1:20" x14ac:dyDescent="0.15">
      <c r="A16" s="6"/>
      <c r="B16" s="81"/>
      <c r="C16" s="6"/>
      <c r="D16" s="6"/>
      <c r="E16" s="6"/>
      <c r="F16" s="6"/>
      <c r="G16" s="6"/>
      <c r="H16" s="6"/>
      <c r="I16" s="83"/>
      <c r="P16" s="293"/>
      <c r="Q16" s="293"/>
      <c r="R16" s="293"/>
      <c r="S16" s="293"/>
      <c r="T16" s="293"/>
    </row>
    <row r="17" spans="1:20" x14ac:dyDescent="0.15">
      <c r="A17" s="6"/>
      <c r="B17" s="81"/>
      <c r="C17" s="6"/>
      <c r="D17" s="6"/>
      <c r="E17" s="6"/>
      <c r="F17" s="6"/>
      <c r="G17" s="6"/>
      <c r="H17" s="6"/>
      <c r="I17" s="83"/>
      <c r="P17" s="293"/>
      <c r="Q17" s="293"/>
      <c r="R17" s="293"/>
      <c r="S17" s="293"/>
      <c r="T17" s="293"/>
    </row>
    <row r="18" spans="1:20" x14ac:dyDescent="0.15">
      <c r="A18" s="6"/>
      <c r="B18" s="81"/>
      <c r="C18" s="6"/>
      <c r="D18" s="5" t="s">
        <v>1348</v>
      </c>
      <c r="E18" s="6"/>
      <c r="F18" s="5" t="s">
        <v>1350</v>
      </c>
      <c r="G18" s="6"/>
      <c r="H18" s="6"/>
      <c r="I18" s="83"/>
      <c r="P18" s="293"/>
      <c r="Q18" s="293"/>
      <c r="R18" s="293"/>
      <c r="S18" s="293"/>
      <c r="T18" s="293"/>
    </row>
    <row r="19" spans="1:20" x14ac:dyDescent="0.15">
      <c r="A19" s="6"/>
      <c r="B19" s="81"/>
      <c r="C19" s="6"/>
      <c r="D19" s="6"/>
      <c r="E19" s="6"/>
      <c r="F19" s="6"/>
      <c r="G19" s="6"/>
      <c r="H19" s="6"/>
      <c r="I19" s="83"/>
      <c r="P19" s="293"/>
      <c r="Q19" s="293"/>
      <c r="R19" s="293"/>
      <c r="S19" s="293"/>
      <c r="T19" s="293"/>
    </row>
    <row r="20" spans="1:20" x14ac:dyDescent="0.15">
      <c r="A20" s="6"/>
      <c r="B20" s="81"/>
      <c r="C20" s="6"/>
      <c r="D20" s="158">
        <v>1</v>
      </c>
      <c r="E20" s="6"/>
      <c r="F20" s="186">
        <f>SUM(D20*P20)</f>
        <v>23.545999999999999</v>
      </c>
      <c r="G20" s="6"/>
      <c r="H20" s="6"/>
      <c r="I20" s="83"/>
      <c r="P20" s="293">
        <v>23.545999999999999</v>
      </c>
      <c r="Q20" s="293"/>
      <c r="R20" s="293"/>
      <c r="S20" s="293"/>
      <c r="T20" s="293"/>
    </row>
    <row r="21" spans="1:20" x14ac:dyDescent="0.15">
      <c r="A21" s="6"/>
      <c r="B21" s="84"/>
      <c r="C21" s="85"/>
      <c r="D21" s="85"/>
      <c r="E21" s="85"/>
      <c r="F21" s="85"/>
      <c r="G21" s="85"/>
      <c r="H21" s="85"/>
      <c r="I21" s="86"/>
      <c r="P21" s="293"/>
      <c r="Q21" s="293"/>
      <c r="R21" s="293"/>
      <c r="S21" s="293"/>
      <c r="T21" s="293"/>
    </row>
    <row r="22" spans="1:20" x14ac:dyDescent="0.15">
      <c r="A22" s="6"/>
      <c r="B22" s="6"/>
      <c r="C22" s="6"/>
      <c r="D22" s="6"/>
      <c r="E22" s="6"/>
      <c r="F22" s="6"/>
      <c r="G22" s="6"/>
      <c r="H22" s="6"/>
      <c r="I22" s="6"/>
      <c r="P22" s="293"/>
      <c r="Q22" s="293"/>
      <c r="R22" s="293"/>
      <c r="S22" s="293"/>
      <c r="T22" s="293"/>
    </row>
    <row r="23" spans="1:20" ht="17.25" x14ac:dyDescent="0.15">
      <c r="A23" s="6"/>
      <c r="B23" s="239" t="s">
        <v>1351</v>
      </c>
      <c r="C23" s="239"/>
      <c r="D23" s="239"/>
      <c r="E23" s="239"/>
      <c r="F23" s="239"/>
      <c r="G23" s="239"/>
      <c r="H23" s="239"/>
      <c r="I23" s="239"/>
      <c r="P23" s="293"/>
      <c r="Q23" s="293"/>
      <c r="R23" s="293"/>
      <c r="S23" s="293"/>
      <c r="T23" s="293"/>
    </row>
    <row r="24" spans="1:20" x14ac:dyDescent="0.15">
      <c r="A24" s="6"/>
      <c r="B24" s="240" t="s">
        <v>324</v>
      </c>
      <c r="C24" s="240"/>
      <c r="D24" s="240"/>
      <c r="E24" s="240"/>
      <c r="F24" s="240"/>
      <c r="G24" s="6"/>
      <c r="H24" s="173" t="s">
        <v>7</v>
      </c>
      <c r="I24" s="6"/>
      <c r="P24" s="293"/>
      <c r="Q24" s="293"/>
      <c r="R24" s="293"/>
      <c r="S24" s="293"/>
      <c r="T24" s="293"/>
    </row>
    <row r="25" spans="1:20" x14ac:dyDescent="0.15">
      <c r="A25" s="6"/>
      <c r="B25" s="5" t="s">
        <v>1352</v>
      </c>
      <c r="C25" s="6"/>
      <c r="D25" s="5" t="s">
        <v>1353</v>
      </c>
      <c r="E25" s="6"/>
      <c r="F25" s="5" t="s">
        <v>1354</v>
      </c>
      <c r="G25" s="6"/>
      <c r="H25" s="5" t="s">
        <v>1355</v>
      </c>
      <c r="I25" s="6"/>
      <c r="P25" s="293"/>
      <c r="Q25" s="293"/>
      <c r="R25" s="293"/>
      <c r="S25" s="293"/>
      <c r="T25" s="293"/>
    </row>
    <row r="26" spans="1:20" x14ac:dyDescent="0.15">
      <c r="A26" s="6"/>
      <c r="B26" s="158">
        <v>141</v>
      </c>
      <c r="C26" s="6"/>
      <c r="D26" s="158">
        <v>23</v>
      </c>
      <c r="E26" s="6"/>
      <c r="F26" s="158">
        <v>55.377200000000002</v>
      </c>
      <c r="G26" s="6"/>
      <c r="H26" s="187">
        <f>SUM(R26:S26:T26)</f>
        <v>141.3987158874786</v>
      </c>
      <c r="I26" s="6"/>
      <c r="P26" s="293">
        <v>1.6666666600000001E-2</v>
      </c>
      <c r="Q26" s="293">
        <v>2.7777778000000002E-4</v>
      </c>
      <c r="R26" s="293">
        <f>SUM(D26*P26)</f>
        <v>0.38333333180000001</v>
      </c>
      <c r="S26" s="293">
        <f>SUM(F26*Q26)</f>
        <v>1.5382555678616001E-2</v>
      </c>
      <c r="T26" s="293">
        <f>B26</f>
        <v>141</v>
      </c>
    </row>
    <row r="27" spans="1:20" x14ac:dyDescent="0.15">
      <c r="A27" s="6"/>
      <c r="B27" s="6"/>
      <c r="C27" s="6"/>
      <c r="D27" s="6"/>
      <c r="E27" s="6"/>
      <c r="F27" s="6"/>
      <c r="G27" s="6"/>
      <c r="H27" s="6"/>
      <c r="I27" s="6"/>
      <c r="P27" s="293"/>
      <c r="Q27" s="293"/>
      <c r="R27" s="293"/>
      <c r="S27" s="293"/>
      <c r="T27" s="293"/>
    </row>
    <row r="28" spans="1:20" x14ac:dyDescent="0.15">
      <c r="A28" s="6"/>
      <c r="B28" s="5" t="s">
        <v>1356</v>
      </c>
      <c r="C28" s="6"/>
      <c r="D28" s="5" t="s">
        <v>1353</v>
      </c>
      <c r="E28" s="6"/>
      <c r="F28" s="5" t="s">
        <v>1354</v>
      </c>
      <c r="G28" s="6"/>
      <c r="H28" s="5" t="s">
        <v>1355</v>
      </c>
      <c r="I28" s="6"/>
      <c r="P28" s="293"/>
      <c r="Q28" s="293"/>
      <c r="R28" s="293"/>
      <c r="S28" s="293"/>
      <c r="T28" s="293"/>
    </row>
    <row r="29" spans="1:20" x14ac:dyDescent="0.15">
      <c r="A29" s="6"/>
      <c r="B29" s="158">
        <v>40</v>
      </c>
      <c r="C29" s="6"/>
      <c r="D29" s="158">
        <v>42</v>
      </c>
      <c r="E29" s="6"/>
      <c r="F29" s="158">
        <v>2.1301000000000001</v>
      </c>
      <c r="G29" s="6"/>
      <c r="H29" s="187">
        <f>SUM(R29:S29:T29)</f>
        <v>40.70059169164918</v>
      </c>
      <c r="I29" s="6"/>
      <c r="P29" s="293">
        <v>1.6666666600000001E-2</v>
      </c>
      <c r="Q29" s="293">
        <v>2.7777778000000002E-4</v>
      </c>
      <c r="R29" s="293">
        <f>SUM(D29*P29)</f>
        <v>0.69999999720000006</v>
      </c>
      <c r="S29" s="293">
        <f>SUM(F29*Q29)</f>
        <v>5.9169444917800006E-4</v>
      </c>
      <c r="T29" s="293">
        <f>B29</f>
        <v>40</v>
      </c>
    </row>
    <row r="30" spans="1:20" x14ac:dyDescent="0.15">
      <c r="A30" s="6"/>
      <c r="B30" s="6"/>
      <c r="C30" s="6"/>
      <c r="D30" s="6"/>
      <c r="E30" s="6"/>
      <c r="F30" s="6"/>
      <c r="G30" s="6"/>
      <c r="H30" s="6"/>
      <c r="I30" s="6"/>
    </row>
    <row r="31" spans="1:20" x14ac:dyDescent="0.15">
      <c r="A31" s="6"/>
      <c r="B31" s="6"/>
      <c r="C31" s="6"/>
      <c r="D31" s="6"/>
      <c r="E31" s="6"/>
      <c r="F31" s="6"/>
      <c r="G31" s="6"/>
      <c r="H31" s="6"/>
      <c r="I31" s="6"/>
    </row>
    <row r="32" spans="1:20" x14ac:dyDescent="0.15">
      <c r="A32" s="6"/>
      <c r="B32" s="176"/>
      <c r="C32" s="6"/>
      <c r="D32" s="6"/>
      <c r="E32" s="6"/>
      <c r="F32" s="6"/>
      <c r="G32" s="6"/>
      <c r="H32" s="6"/>
      <c r="I32" s="6"/>
    </row>
    <row r="33" spans="1:9" x14ac:dyDescent="0.15">
      <c r="A33" s="6"/>
      <c r="B33" s="6"/>
      <c r="C33" s="6"/>
      <c r="D33" s="6"/>
      <c r="E33" s="6"/>
      <c r="F33" s="6"/>
      <c r="G33" s="6"/>
      <c r="H33" s="6"/>
      <c r="I33" s="6"/>
    </row>
    <row r="34" spans="1:9" x14ac:dyDescent="0.15">
      <c r="A34" s="6"/>
      <c r="B34" s="6"/>
      <c r="C34" s="6"/>
      <c r="D34" s="6"/>
      <c r="E34" s="6"/>
      <c r="F34" s="6"/>
      <c r="G34" s="6"/>
      <c r="H34" s="6"/>
      <c r="I34" s="6"/>
    </row>
    <row r="36" spans="1:9" ht="17.25" x14ac:dyDescent="0.15">
      <c r="B36" s="241" t="s">
        <v>1437</v>
      </c>
      <c r="C36" s="241"/>
      <c r="D36" s="241"/>
      <c r="E36" s="241"/>
      <c r="F36" s="241"/>
      <c r="G36" s="241"/>
      <c r="H36" s="241"/>
      <c r="I36" s="241"/>
    </row>
    <row r="38" spans="1:9" x14ac:dyDescent="0.15">
      <c r="B38" s="172" t="s">
        <v>1433</v>
      </c>
      <c r="D38" s="173" t="s">
        <v>1434</v>
      </c>
      <c r="E38" s="6"/>
      <c r="F38" s="15"/>
    </row>
    <row r="39" spans="1:9" x14ac:dyDescent="0.15">
      <c r="B39" s="174" t="s">
        <v>1431</v>
      </c>
      <c r="D39" s="5" t="s">
        <v>1425</v>
      </c>
      <c r="E39" s="6"/>
      <c r="F39" s="3"/>
    </row>
    <row r="40" spans="1:9" x14ac:dyDescent="0.15">
      <c r="B40" s="76" t="s">
        <v>1379</v>
      </c>
      <c r="D40" s="177">
        <f>IF(B40="","",VLOOKUP(B40,P72:Q101,2,FALSE))</f>
        <v>23.370999999999999</v>
      </c>
      <c r="E40" s="6"/>
      <c r="F40" s="4"/>
    </row>
    <row r="41" spans="1:9" x14ac:dyDescent="0.15">
      <c r="D41" s="6"/>
      <c r="E41" s="6"/>
      <c r="F41" s="4"/>
    </row>
    <row r="42" spans="1:9" x14ac:dyDescent="0.15">
      <c r="B42" s="174" t="s">
        <v>1431</v>
      </c>
      <c r="D42" s="5" t="s">
        <v>1426</v>
      </c>
      <c r="E42" s="6"/>
      <c r="F42" s="4"/>
    </row>
    <row r="43" spans="1:9" x14ac:dyDescent="0.15">
      <c r="B43" s="76" t="s">
        <v>1379</v>
      </c>
      <c r="D43" s="177">
        <f>IF(B43="","",VLOOKUP(B43,S72:T105,2,FALSE))</f>
        <v>30.847999999999999</v>
      </c>
      <c r="E43" s="6"/>
      <c r="F43" s="4"/>
    </row>
    <row r="44" spans="1:9" x14ac:dyDescent="0.15">
      <c r="D44" s="6"/>
      <c r="E44" s="6"/>
      <c r="F44" s="4"/>
    </row>
    <row r="45" spans="1:9" x14ac:dyDescent="0.15">
      <c r="D45" s="3"/>
      <c r="E45" s="6"/>
      <c r="F45" s="3"/>
    </row>
    <row r="46" spans="1:9" x14ac:dyDescent="0.15">
      <c r="B46" s="183" t="s">
        <v>1435</v>
      </c>
      <c r="D46" s="4"/>
      <c r="E46" s="6"/>
      <c r="F46" s="4"/>
    </row>
    <row r="49" spans="4:6" x14ac:dyDescent="0.15">
      <c r="D49" s="4"/>
      <c r="E49" s="6"/>
      <c r="F49" s="4"/>
    </row>
    <row r="50" spans="4:6" x14ac:dyDescent="0.15">
      <c r="D50" s="4"/>
      <c r="E50" s="6"/>
      <c r="F50" s="4"/>
    </row>
    <row r="51" spans="4:6" x14ac:dyDescent="0.15">
      <c r="D51" s="4"/>
      <c r="E51" s="6"/>
      <c r="F51" s="4"/>
    </row>
    <row r="52" spans="4:6" x14ac:dyDescent="0.15">
      <c r="D52" s="3"/>
      <c r="E52" s="6"/>
      <c r="F52" s="3"/>
    </row>
    <row r="53" spans="4:6" x14ac:dyDescent="0.15">
      <c r="D53" s="4"/>
      <c r="E53" s="6"/>
      <c r="F53" s="4"/>
    </row>
    <row r="54" spans="4:6" x14ac:dyDescent="0.15">
      <c r="D54" s="4"/>
      <c r="E54" s="6"/>
      <c r="F54" s="4"/>
    </row>
    <row r="69" spans="16:20" ht="14.25" thickBot="1" x14ac:dyDescent="0.2"/>
    <row r="70" spans="16:20" ht="14.25" thickBot="1" x14ac:dyDescent="0.2">
      <c r="P70" s="232" t="s">
        <v>1357</v>
      </c>
      <c r="Q70" s="233"/>
      <c r="R70" s="233"/>
      <c r="S70" s="233"/>
      <c r="T70" s="234"/>
    </row>
    <row r="71" spans="16:20" x14ac:dyDescent="0.15">
      <c r="P71" s="159" t="s">
        <v>1358</v>
      </c>
      <c r="Q71" s="159" t="s">
        <v>1428</v>
      </c>
      <c r="R71" s="160"/>
      <c r="S71" s="159" t="s">
        <v>1358</v>
      </c>
      <c r="T71" s="159" t="s">
        <v>1429</v>
      </c>
    </row>
    <row r="72" spans="16:20" x14ac:dyDescent="0.15">
      <c r="P72" s="161" t="s">
        <v>1359</v>
      </c>
      <c r="Q72" s="178">
        <v>30.922000000000001</v>
      </c>
      <c r="R72" s="162"/>
      <c r="S72" s="161" t="s">
        <v>1359</v>
      </c>
      <c r="T72" s="178">
        <v>30.715</v>
      </c>
    </row>
    <row r="73" spans="16:20" x14ac:dyDescent="0.15">
      <c r="P73" s="161" t="s">
        <v>1360</v>
      </c>
      <c r="Q73" s="178">
        <v>29.875</v>
      </c>
      <c r="R73" s="162"/>
      <c r="S73" s="161" t="s">
        <v>1360</v>
      </c>
      <c r="T73" s="178">
        <v>30.736000000000001</v>
      </c>
    </row>
    <row r="74" spans="16:20" x14ac:dyDescent="0.15">
      <c r="P74" s="161" t="s">
        <v>1361</v>
      </c>
      <c r="Q74" s="178">
        <v>28.263999999999999</v>
      </c>
      <c r="R74" s="162"/>
      <c r="S74" s="161" t="s">
        <v>1361</v>
      </c>
      <c r="T74" s="178">
        <v>30.765999999999998</v>
      </c>
    </row>
    <row r="75" spans="16:20" x14ac:dyDescent="0.15">
      <c r="P75" s="161" t="s">
        <v>1362</v>
      </c>
      <c r="Q75" s="178">
        <v>28.042000000000002</v>
      </c>
      <c r="R75" s="162"/>
      <c r="S75" s="161" t="s">
        <v>1362</v>
      </c>
      <c r="T75" s="178">
        <v>30.77</v>
      </c>
    </row>
    <row r="76" spans="16:20" x14ac:dyDescent="0.15">
      <c r="P76" s="161" t="s">
        <v>1363</v>
      </c>
      <c r="Q76" s="178">
        <v>27.81</v>
      </c>
      <c r="R76" s="162"/>
      <c r="S76" s="161" t="s">
        <v>1363</v>
      </c>
      <c r="T76" s="178">
        <v>30.774000000000001</v>
      </c>
    </row>
    <row r="77" spans="16:20" x14ac:dyDescent="0.15">
      <c r="P77" s="161" t="s">
        <v>1364</v>
      </c>
      <c r="Q77" s="178">
        <v>27.571000000000002</v>
      </c>
      <c r="R77" s="162"/>
      <c r="S77" s="161" t="s">
        <v>1364</v>
      </c>
      <c r="T77" s="178">
        <v>30.779</v>
      </c>
    </row>
    <row r="78" spans="16:20" x14ac:dyDescent="0.15">
      <c r="P78" s="161" t="s">
        <v>1365</v>
      </c>
      <c r="Q78" s="178">
        <v>27.323</v>
      </c>
      <c r="R78" s="162"/>
      <c r="S78" s="161" t="s">
        <v>1365</v>
      </c>
      <c r="T78" s="178">
        <v>30.783000000000001</v>
      </c>
    </row>
    <row r="79" spans="16:20" x14ac:dyDescent="0.15">
      <c r="P79" s="161" t="s">
        <v>1366</v>
      </c>
      <c r="Q79" s="178">
        <v>27.065999999999999</v>
      </c>
      <c r="R79" s="162"/>
      <c r="S79" s="161" t="s">
        <v>1366</v>
      </c>
      <c r="T79" s="178">
        <v>30.788</v>
      </c>
    </row>
    <row r="80" spans="16:20" x14ac:dyDescent="0.15">
      <c r="P80" s="161" t="s">
        <v>1367</v>
      </c>
      <c r="Q80" s="178">
        <v>26.802</v>
      </c>
      <c r="R80" s="162"/>
      <c r="S80" s="161" t="s">
        <v>1367</v>
      </c>
      <c r="T80" s="178">
        <v>30.792000000000002</v>
      </c>
    </row>
    <row r="81" spans="16:20" x14ac:dyDescent="0.15">
      <c r="P81" s="161" t="s">
        <v>1368</v>
      </c>
      <c r="Q81" s="178">
        <v>26.529</v>
      </c>
      <c r="R81" s="162"/>
      <c r="S81" s="161" t="s">
        <v>1368</v>
      </c>
      <c r="T81" s="178">
        <v>30.797000000000001</v>
      </c>
    </row>
    <row r="82" spans="16:20" x14ac:dyDescent="0.15">
      <c r="P82" s="161" t="s">
        <v>1369</v>
      </c>
      <c r="Q82" s="178">
        <v>26.248000000000001</v>
      </c>
      <c r="R82" s="162"/>
      <c r="S82" s="161" t="s">
        <v>1369</v>
      </c>
      <c r="T82" s="178">
        <v>30.802</v>
      </c>
    </row>
    <row r="83" spans="16:20" x14ac:dyDescent="0.15">
      <c r="P83" s="161" t="s">
        <v>1370</v>
      </c>
      <c r="Q83" s="178">
        <v>25.959</v>
      </c>
      <c r="R83" s="162"/>
      <c r="S83" s="161" t="s">
        <v>1370</v>
      </c>
      <c r="T83" s="178">
        <v>30.806999999999999</v>
      </c>
    </row>
    <row r="84" spans="16:20" x14ac:dyDescent="0.15">
      <c r="P84" s="161" t="s">
        <v>1371</v>
      </c>
      <c r="Q84" s="178">
        <v>25.661999999999999</v>
      </c>
      <c r="R84" s="162"/>
      <c r="S84" s="161" t="s">
        <v>1371</v>
      </c>
      <c r="T84" s="178">
        <v>30.812000000000001</v>
      </c>
    </row>
    <row r="85" spans="16:20" ht="14.25" thickBot="1" x14ac:dyDescent="0.2">
      <c r="P85" s="163" t="s">
        <v>1372</v>
      </c>
      <c r="Q85" s="179">
        <v>25.358000000000001</v>
      </c>
      <c r="R85" s="162"/>
      <c r="S85" s="163" t="s">
        <v>1372</v>
      </c>
      <c r="T85" s="179">
        <v>30.817</v>
      </c>
    </row>
    <row r="86" spans="16:20" ht="14.25" thickBot="1" x14ac:dyDescent="0.2">
      <c r="P86" s="164" t="s">
        <v>1373</v>
      </c>
      <c r="Q86" s="180" t="s">
        <v>1427</v>
      </c>
      <c r="R86" s="162"/>
      <c r="S86" s="164" t="s">
        <v>1373</v>
      </c>
      <c r="T86" s="180" t="s">
        <v>1430</v>
      </c>
    </row>
    <row r="87" spans="16:20" x14ac:dyDescent="0.15">
      <c r="P87" s="165" t="s">
        <v>1374</v>
      </c>
      <c r="Q87" s="181">
        <v>25.045000000000002</v>
      </c>
      <c r="R87" s="162"/>
      <c r="S87" s="165" t="s">
        <v>1374</v>
      </c>
      <c r="T87" s="181">
        <v>30.821999999999999</v>
      </c>
    </row>
    <row r="88" spans="16:20" x14ac:dyDescent="0.15">
      <c r="P88" s="161" t="s">
        <v>1375</v>
      </c>
      <c r="Q88" s="178">
        <v>24.725000000000001</v>
      </c>
      <c r="R88" s="162"/>
      <c r="S88" s="161" t="s">
        <v>1375</v>
      </c>
      <c r="T88" s="178">
        <v>30.827000000000002</v>
      </c>
    </row>
    <row r="89" spans="16:20" x14ac:dyDescent="0.15">
      <c r="P89" s="161" t="s">
        <v>1376</v>
      </c>
      <c r="Q89" s="178">
        <v>24.398</v>
      </c>
      <c r="R89" s="162"/>
      <c r="S89" s="161" t="s">
        <v>1376</v>
      </c>
      <c r="T89" s="178">
        <v>30.832000000000001</v>
      </c>
    </row>
    <row r="90" spans="16:20" x14ac:dyDescent="0.15">
      <c r="P90" s="161" t="s">
        <v>1377</v>
      </c>
      <c r="Q90" s="178">
        <v>24.062999999999999</v>
      </c>
      <c r="R90" s="162"/>
      <c r="S90" s="161" t="s">
        <v>1377</v>
      </c>
      <c r="T90" s="178">
        <v>30.838000000000001</v>
      </c>
    </row>
    <row r="91" spans="16:20" x14ac:dyDescent="0.15">
      <c r="P91" s="161" t="s">
        <v>1378</v>
      </c>
      <c r="Q91" s="178">
        <v>23.721</v>
      </c>
      <c r="R91" s="162"/>
      <c r="S91" s="161" t="s">
        <v>1378</v>
      </c>
      <c r="T91" s="178">
        <v>30.843</v>
      </c>
    </row>
    <row r="92" spans="16:20" x14ac:dyDescent="0.15">
      <c r="P92" s="161" t="s">
        <v>1432</v>
      </c>
      <c r="Q92" s="178">
        <v>23.545999999999999</v>
      </c>
      <c r="R92" s="162"/>
      <c r="S92" s="161" t="s">
        <v>1432</v>
      </c>
      <c r="T92" s="178">
        <v>30.844999999999999</v>
      </c>
    </row>
    <row r="93" spans="16:20" x14ac:dyDescent="0.15">
      <c r="P93" s="161" t="s">
        <v>1379</v>
      </c>
      <c r="Q93" s="178">
        <v>23.370999999999999</v>
      </c>
      <c r="R93" s="162"/>
      <c r="S93" s="161" t="s">
        <v>1379</v>
      </c>
      <c r="T93" s="178">
        <v>30.847999999999999</v>
      </c>
    </row>
    <row r="94" spans="16:20" x14ac:dyDescent="0.15">
      <c r="P94" s="161" t="s">
        <v>1380</v>
      </c>
      <c r="Q94" s="178">
        <v>23.013999999999999</v>
      </c>
      <c r="R94" s="162"/>
      <c r="S94" s="161" t="s">
        <v>1380</v>
      </c>
      <c r="T94" s="178">
        <v>30.853999999999999</v>
      </c>
    </row>
    <row r="95" spans="16:20" x14ac:dyDescent="0.15">
      <c r="P95" s="161" t="s">
        <v>1381</v>
      </c>
      <c r="Q95" s="178">
        <v>22.65</v>
      </c>
      <c r="R95" s="162"/>
      <c r="S95" s="161" t="s">
        <v>1381</v>
      </c>
      <c r="T95" s="178">
        <v>30.859000000000002</v>
      </c>
    </row>
    <row r="96" spans="16:20" x14ac:dyDescent="0.15">
      <c r="P96" s="161" t="s">
        <v>1382</v>
      </c>
      <c r="Q96" s="178">
        <v>22.279</v>
      </c>
      <c r="R96" s="162"/>
      <c r="S96" s="161" t="s">
        <v>1382</v>
      </c>
      <c r="T96" s="178">
        <v>30.864999999999998</v>
      </c>
    </row>
    <row r="97" spans="16:20" x14ac:dyDescent="0.15">
      <c r="P97" s="161" t="s">
        <v>1383</v>
      </c>
      <c r="Q97" s="178">
        <v>21.902000000000001</v>
      </c>
      <c r="R97" s="162"/>
      <c r="S97" s="161" t="s">
        <v>1383</v>
      </c>
      <c r="T97" s="178">
        <v>30.87</v>
      </c>
    </row>
    <row r="98" spans="16:20" x14ac:dyDescent="0.15">
      <c r="P98" s="161" t="s">
        <v>1384</v>
      </c>
      <c r="Q98" s="178">
        <v>21.518000000000001</v>
      </c>
      <c r="R98" s="162"/>
      <c r="S98" s="161" t="s">
        <v>1384</v>
      </c>
      <c r="T98" s="178">
        <v>30.875</v>
      </c>
    </row>
    <row r="99" spans="16:20" x14ac:dyDescent="0.15">
      <c r="P99" s="161" t="s">
        <v>1385</v>
      </c>
      <c r="Q99" s="178">
        <v>15.5</v>
      </c>
      <c r="R99" s="162"/>
      <c r="S99" s="161" t="s">
        <v>1386</v>
      </c>
      <c r="T99" s="178">
        <v>30.881</v>
      </c>
    </row>
    <row r="100" spans="16:20" x14ac:dyDescent="0.15">
      <c r="P100" s="161" t="s">
        <v>1387</v>
      </c>
      <c r="Q100" s="178">
        <v>8.0280000000000005</v>
      </c>
      <c r="R100" s="162"/>
      <c r="S100" s="161" t="s">
        <v>1388</v>
      </c>
      <c r="T100" s="178">
        <v>30.885999999999999</v>
      </c>
    </row>
    <row r="101" spans="16:20" x14ac:dyDescent="0.15">
      <c r="P101" s="161" t="s">
        <v>1389</v>
      </c>
      <c r="Q101" s="178">
        <v>0</v>
      </c>
      <c r="R101" s="162"/>
      <c r="S101" s="161" t="s">
        <v>1390</v>
      </c>
      <c r="T101" s="178">
        <v>30.891999999999999</v>
      </c>
    </row>
    <row r="102" spans="16:20" x14ac:dyDescent="0.15">
      <c r="P102" s="161"/>
      <c r="Q102" s="178"/>
      <c r="R102" s="162"/>
      <c r="S102" s="161" t="s">
        <v>1391</v>
      </c>
      <c r="T102" s="178">
        <v>30.896999999999998</v>
      </c>
    </row>
    <row r="103" spans="16:20" x14ac:dyDescent="0.15">
      <c r="P103" s="162"/>
      <c r="Q103" s="178"/>
      <c r="R103" s="162"/>
      <c r="S103" s="161" t="s">
        <v>1385</v>
      </c>
      <c r="T103" s="178">
        <v>30.948</v>
      </c>
    </row>
    <row r="104" spans="16:20" x14ac:dyDescent="0.15">
      <c r="P104" s="162"/>
      <c r="Q104" s="178"/>
      <c r="R104" s="162"/>
      <c r="S104" s="161" t="s">
        <v>1387</v>
      </c>
      <c r="T104" s="178">
        <v>31.004999999999999</v>
      </c>
    </row>
    <row r="105" spans="16:20" ht="14.25" thickBot="1" x14ac:dyDescent="0.2">
      <c r="P105" s="166"/>
      <c r="Q105" s="182"/>
      <c r="R105" s="166"/>
      <c r="S105" s="167" t="s">
        <v>1389</v>
      </c>
      <c r="T105" s="182">
        <v>31.026</v>
      </c>
    </row>
  </sheetData>
  <mergeCells count="6">
    <mergeCell ref="P70:T70"/>
    <mergeCell ref="B1:C1"/>
    <mergeCell ref="B2:I2"/>
    <mergeCell ref="B23:I23"/>
    <mergeCell ref="B24:F24"/>
    <mergeCell ref="B36:I36"/>
  </mergeCells>
  <phoneticPr fontId="1"/>
  <dataValidations count="2">
    <dataValidation type="list" allowBlank="1" showInputMessage="1" showErrorMessage="1" sqref="B40">
      <formula1>$P$72:$P$101</formula1>
    </dataValidation>
    <dataValidation type="list" allowBlank="1" showInputMessage="1" showErrorMessage="1" sqref="B43">
      <formula1>$S$72:$S$105</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27"/>
  <sheetViews>
    <sheetView workbookViewId="0">
      <selection activeCell="M1" sqref="M1"/>
    </sheetView>
  </sheetViews>
  <sheetFormatPr defaultRowHeight="13.5" outlineLevelCol="1" x14ac:dyDescent="0.15"/>
  <cols>
    <col min="2" max="2" width="10.625" customWidth="1"/>
    <col min="3" max="3" width="1.5" customWidth="1"/>
    <col min="4" max="4" width="10.625" customWidth="1"/>
    <col min="5" max="5" width="1.5" customWidth="1"/>
    <col min="6" max="6" width="10.625" customWidth="1"/>
    <col min="7" max="8" width="1.5" customWidth="1"/>
    <col min="9" max="9" width="10.625" customWidth="1"/>
    <col min="10" max="10" width="2.625" customWidth="1"/>
    <col min="13" max="13" width="11.875" customWidth="1"/>
    <col min="16" max="16" width="0" hidden="1" customWidth="1" outlineLevel="1"/>
    <col min="17" max="17" width="11.75" hidden="1" customWidth="1" outlineLevel="1"/>
    <col min="18" max="18" width="9.125" hidden="1" customWidth="1" outlineLevel="1"/>
    <col min="19" max="19" width="11.625" hidden="1" customWidth="1" outlineLevel="1"/>
    <col min="20" max="20" width="9" collapsed="1"/>
  </cols>
  <sheetData>
    <row r="1" spans="2:19" x14ac:dyDescent="0.15">
      <c r="M1" s="222" t="s">
        <v>1649</v>
      </c>
    </row>
    <row r="2" spans="2:19" ht="17.25" x14ac:dyDescent="0.15">
      <c r="D2" s="120" t="s">
        <v>655</v>
      </c>
    </row>
    <row r="4" spans="2:19" x14ac:dyDescent="0.15">
      <c r="E4" t="s">
        <v>648</v>
      </c>
    </row>
    <row r="5" spans="2:19" x14ac:dyDescent="0.15">
      <c r="F5" t="s">
        <v>647</v>
      </c>
    </row>
    <row r="6" spans="2:19" x14ac:dyDescent="0.15">
      <c r="F6" t="s">
        <v>646</v>
      </c>
    </row>
    <row r="7" spans="2:19" x14ac:dyDescent="0.15">
      <c r="G7" t="s">
        <v>645</v>
      </c>
    </row>
    <row r="10" spans="2:19" x14ac:dyDescent="0.15">
      <c r="I10" t="s">
        <v>657</v>
      </c>
    </row>
    <row r="12" spans="2:19" x14ac:dyDescent="0.15">
      <c r="P12" s="65" t="s">
        <v>624</v>
      </c>
      <c r="Q12" s="65" t="s">
        <v>638</v>
      </c>
      <c r="R12" s="65" t="s">
        <v>639</v>
      </c>
      <c r="S12" s="65" t="s">
        <v>640</v>
      </c>
    </row>
    <row r="13" spans="2:19" x14ac:dyDescent="0.15">
      <c r="P13" s="65" t="s">
        <v>625</v>
      </c>
      <c r="Q13" s="64">
        <v>0</v>
      </c>
      <c r="R13" s="64">
        <v>0</v>
      </c>
      <c r="S13" s="64">
        <f>POWER(10,0)</f>
        <v>1</v>
      </c>
    </row>
    <row r="14" spans="2:19" x14ac:dyDescent="0.15">
      <c r="P14" s="65" t="s">
        <v>626</v>
      </c>
      <c r="Q14" s="64">
        <v>1</v>
      </c>
      <c r="R14" s="64">
        <v>1</v>
      </c>
      <c r="S14" s="64">
        <f>POWER(10,1)</f>
        <v>10</v>
      </c>
    </row>
    <row r="15" spans="2:19" x14ac:dyDescent="0.15">
      <c r="P15" s="65" t="s">
        <v>627</v>
      </c>
      <c r="Q15" s="64">
        <v>2</v>
      </c>
      <c r="R15" s="64">
        <v>2</v>
      </c>
      <c r="S15" s="64">
        <f>POWER(10,2)</f>
        <v>100</v>
      </c>
    </row>
    <row r="16" spans="2:19" ht="14.25" thickBot="1" x14ac:dyDescent="0.2">
      <c r="B16" s="71" t="s">
        <v>641</v>
      </c>
      <c r="D16" s="71" t="s">
        <v>642</v>
      </c>
      <c r="F16" s="71" t="s">
        <v>643</v>
      </c>
      <c r="G16" s="71"/>
      <c r="I16" s="71" t="s">
        <v>7</v>
      </c>
      <c r="K16" s="71" t="s">
        <v>7</v>
      </c>
      <c r="P16" s="65" t="s">
        <v>628</v>
      </c>
      <c r="Q16" s="64">
        <v>3</v>
      </c>
      <c r="R16" s="64">
        <v>3</v>
      </c>
      <c r="S16" s="64">
        <f>POWER(10,3)</f>
        <v>1000</v>
      </c>
    </row>
    <row r="17" spans="2:19" ht="14.25" thickBot="1" x14ac:dyDescent="0.2">
      <c r="B17" s="142" t="s">
        <v>629</v>
      </c>
      <c r="C17">
        <f>IF(B17="","",VLOOKUP(B17,P13:S25,2,FALSE))*10</f>
        <v>40</v>
      </c>
      <c r="D17" s="142" t="s">
        <v>630</v>
      </c>
      <c r="E17">
        <f>IF(B17="","",VLOOKUP(D17,P13:S25,3,FALSE))</f>
        <v>5</v>
      </c>
      <c r="F17" s="142" t="s">
        <v>627</v>
      </c>
      <c r="G17">
        <f>IF(B17="","",VLOOKUP(F17,P13:S25,4,FALSE))</f>
        <v>100</v>
      </c>
      <c r="H17">
        <f>C17+E17</f>
        <v>45</v>
      </c>
      <c r="I17" s="10">
        <f>H17*G17</f>
        <v>4500</v>
      </c>
      <c r="J17" t="s">
        <v>644</v>
      </c>
      <c r="K17" s="10">
        <f>I17/1000</f>
        <v>4.5</v>
      </c>
      <c r="L17" t="s">
        <v>649</v>
      </c>
      <c r="P17" s="65" t="s">
        <v>629</v>
      </c>
      <c r="Q17" s="64">
        <v>4</v>
      </c>
      <c r="R17" s="64">
        <v>4</v>
      </c>
      <c r="S17" s="64">
        <f>POWER(10,4)</f>
        <v>10000</v>
      </c>
    </row>
    <row r="18" spans="2:19" ht="14.25" thickBot="1" x14ac:dyDescent="0.2">
      <c r="P18" s="65" t="s">
        <v>630</v>
      </c>
      <c r="Q18" s="64">
        <v>5</v>
      </c>
      <c r="R18" s="64">
        <v>5</v>
      </c>
      <c r="S18" s="64">
        <f>POWER(10,5)</f>
        <v>100000</v>
      </c>
    </row>
    <row r="19" spans="2:19" ht="14.25" thickBot="1" x14ac:dyDescent="0.2">
      <c r="K19" s="10">
        <f>K17/1000</f>
        <v>4.4999999999999997E-3</v>
      </c>
      <c r="L19" t="s">
        <v>1438</v>
      </c>
      <c r="P19" s="65" t="s">
        <v>631</v>
      </c>
      <c r="Q19" s="64">
        <v>6</v>
      </c>
      <c r="R19" s="64">
        <v>6</v>
      </c>
      <c r="S19" s="64">
        <f>POWER(10,6)</f>
        <v>1000000</v>
      </c>
    </row>
    <row r="20" spans="2:19" x14ac:dyDescent="0.15">
      <c r="B20" s="242" t="s">
        <v>656</v>
      </c>
      <c r="C20" s="243"/>
      <c r="D20" s="244"/>
      <c r="P20" s="65" t="s">
        <v>632</v>
      </c>
      <c r="Q20" s="64">
        <v>7</v>
      </c>
      <c r="R20" s="64">
        <v>7</v>
      </c>
      <c r="S20" s="64">
        <f>POWER(10,7)</f>
        <v>10000000</v>
      </c>
    </row>
    <row r="21" spans="2:19" x14ac:dyDescent="0.15">
      <c r="B21" s="143" t="s">
        <v>626</v>
      </c>
      <c r="C21" s="144"/>
      <c r="D21" s="143" t="s">
        <v>650</v>
      </c>
      <c r="P21" s="65" t="s">
        <v>633</v>
      </c>
      <c r="Q21" s="64">
        <v>8</v>
      </c>
      <c r="R21" s="64">
        <v>8</v>
      </c>
      <c r="S21" s="64">
        <f>POWER(10,8)</f>
        <v>100000000</v>
      </c>
    </row>
    <row r="22" spans="2:19" x14ac:dyDescent="0.15">
      <c r="B22" s="143" t="s">
        <v>627</v>
      </c>
      <c r="C22" s="144"/>
      <c r="D22" s="143" t="s">
        <v>651</v>
      </c>
      <c r="P22" s="65" t="s">
        <v>634</v>
      </c>
      <c r="Q22" s="64">
        <v>9</v>
      </c>
      <c r="R22" s="64">
        <v>9</v>
      </c>
      <c r="S22" s="64">
        <f>POWER(10,9)</f>
        <v>1000000000</v>
      </c>
    </row>
    <row r="23" spans="2:19" x14ac:dyDescent="0.15">
      <c r="B23" s="143" t="s">
        <v>635</v>
      </c>
      <c r="C23" s="144"/>
      <c r="D23" s="143" t="s">
        <v>652</v>
      </c>
      <c r="P23" s="65" t="s">
        <v>635</v>
      </c>
      <c r="Q23" s="64"/>
      <c r="R23" s="64"/>
      <c r="S23" s="64">
        <f>POWER(10,-1)</f>
        <v>0.1</v>
      </c>
    </row>
    <row r="24" spans="2:19" x14ac:dyDescent="0.15">
      <c r="B24" s="143" t="s">
        <v>636</v>
      </c>
      <c r="C24" s="144"/>
      <c r="D24" s="143" t="s">
        <v>653</v>
      </c>
      <c r="P24" s="65" t="s">
        <v>636</v>
      </c>
      <c r="Q24" s="64"/>
      <c r="R24" s="64"/>
      <c r="S24" s="64">
        <f>POWER(10,-2)</f>
        <v>0.01</v>
      </c>
    </row>
    <row r="25" spans="2:19" x14ac:dyDescent="0.15">
      <c r="B25" s="143" t="s">
        <v>637</v>
      </c>
      <c r="C25" s="144"/>
      <c r="D25" s="143" t="s">
        <v>654</v>
      </c>
      <c r="P25" s="65" t="s">
        <v>637</v>
      </c>
      <c r="Q25" s="64"/>
      <c r="R25" s="64"/>
      <c r="S25" s="64"/>
    </row>
    <row r="27" spans="2:19" x14ac:dyDescent="0.15">
      <c r="B27" s="59"/>
    </row>
  </sheetData>
  <mergeCells count="1">
    <mergeCell ref="B20:D20"/>
  </mergeCells>
  <phoneticPr fontId="1"/>
  <dataValidations count="1">
    <dataValidation type="list" allowBlank="1" showInputMessage="1" showErrorMessage="1" sqref="B17 F17 D17">
      <formula1>$P$13:$P$25</formula1>
    </dataValidation>
  </dataValidation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15</vt:i4>
      </vt:variant>
    </vt:vector>
  </HeadingPairs>
  <TitlesOfParts>
    <vt:vector size="15" baseType="lpstr">
      <vt:lpstr>三角関数計算表</vt:lpstr>
      <vt:lpstr>対数計算表</vt:lpstr>
      <vt:lpstr>べき乗と√</vt:lpstr>
      <vt:lpstr>進数変換表</vt:lpstr>
      <vt:lpstr>単位変換表</vt:lpstr>
      <vt:lpstr>年号年齢早見表</vt:lpstr>
      <vt:lpstr>用紙サイズpixel換算表</vt:lpstr>
      <vt:lpstr>緯度経度の距離換算表</vt:lpstr>
      <vt:lpstr>抵抗値の読み方</vt:lpstr>
      <vt:lpstr>CR仰角計算表</vt:lpstr>
      <vt:lpstr>オームの法則</vt:lpstr>
      <vt:lpstr>Excel関数一覧</vt:lpstr>
      <vt:lpstr>目的と関数</vt:lpstr>
      <vt:lpstr>種類別関数一覧表</vt:lpstr>
      <vt:lpstr>エンジニアリング関数</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NIIYAMA</dc:creator>
  <cp:lastModifiedBy>新山嗣陽</cp:lastModifiedBy>
  <cp:lastPrinted>2015-04-27T23:41:08Z</cp:lastPrinted>
  <dcterms:created xsi:type="dcterms:W3CDTF">2015-04-02T06:02:20Z</dcterms:created>
  <dcterms:modified xsi:type="dcterms:W3CDTF">2021-08-09T07:07:14Z</dcterms:modified>
</cp:coreProperties>
</file>